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295" activeTab="0"/>
  </bookViews>
  <sheets>
    <sheet name="Capital Programme" sheetId="1" r:id="rId1"/>
  </sheets>
  <definedNames>
    <definedName name="_xlnm.Print_Area" localSheetId="0">'Capital Programme'!$A$1:$Z$252</definedName>
    <definedName name="_xlnm.Print_Titles" localSheetId="0">'Capital Programme'!$1:$4</definedName>
  </definedNames>
  <calcPr fullCalcOnLoad="1" iterate="1" iterateCount="100" iterateDelta="0.001"/>
</workbook>
</file>

<file path=xl/comments1.xml><?xml version="1.0" encoding="utf-8"?>
<comments xmlns="http://schemas.openxmlformats.org/spreadsheetml/2006/main">
  <authors>
    <author>mmolyneux</author>
    <author>nkennedy</author>
  </authors>
  <commentList>
    <comment ref="H25" authorId="0">
      <text>
        <r>
          <rPr>
            <b/>
            <sz val="8"/>
            <rFont val="Tahoma"/>
            <family val="0"/>
          </rPr>
          <t>mmolyneux:</t>
        </r>
        <r>
          <rPr>
            <sz val="8"/>
            <rFont val="Tahoma"/>
            <family val="0"/>
          </rPr>
          <t xml:space="preserve">
PS to complete budget adjustment</t>
        </r>
      </text>
    </comment>
    <comment ref="H26" authorId="0">
      <text>
        <r>
          <rPr>
            <b/>
            <sz val="8"/>
            <rFont val="Tahoma"/>
            <family val="0"/>
          </rPr>
          <t>mmolyneux:</t>
        </r>
        <r>
          <rPr>
            <sz val="8"/>
            <rFont val="Tahoma"/>
            <family val="0"/>
          </rPr>
          <t xml:space="preserve">
PS to put adjustment in agresso</t>
        </r>
      </text>
    </comment>
    <comment ref="V172" authorId="1">
      <text>
        <r>
          <rPr>
            <b/>
            <sz val="8"/>
            <rFont val="Tahoma"/>
            <family val="0"/>
          </rPr>
          <t>nkennedy:</t>
        </r>
        <r>
          <rPr>
            <sz val="8"/>
            <rFont val="Tahoma"/>
            <family val="0"/>
          </rPr>
          <t xml:space="preserve">
#150k added for leys pavillion</t>
        </r>
      </text>
    </comment>
    <comment ref="H238" authorId="0">
      <text>
        <r>
          <rPr>
            <b/>
            <sz val="8"/>
            <rFont val="Tahoma"/>
            <family val="0"/>
          </rPr>
          <t>mmolyneux:</t>
        </r>
        <r>
          <rPr>
            <sz val="8"/>
            <rFont val="Tahoma"/>
            <family val="0"/>
          </rPr>
          <t xml:space="preserve">
Cat is adjusting these budgets</t>
        </r>
      </text>
    </comment>
    <comment ref="S245" authorId="1">
      <text>
        <r>
          <rPr>
            <b/>
            <sz val="8"/>
            <rFont val="Tahoma"/>
            <family val="0"/>
          </rPr>
          <t>nkennedy:</t>
        </r>
        <r>
          <rPr>
            <sz val="8"/>
            <rFont val="Tahoma"/>
            <family val="0"/>
          </rPr>
          <t xml:space="preserve">
play barton reduce by #800k</t>
        </r>
      </text>
    </comment>
    <comment ref="V245" authorId="1">
      <text>
        <r>
          <rPr>
            <b/>
            <sz val="8"/>
            <rFont val="Tahoma"/>
            <family val="0"/>
          </rPr>
          <t>nkennedy:</t>
        </r>
        <r>
          <rPr>
            <sz val="8"/>
            <rFont val="Tahoma"/>
            <family val="0"/>
          </rPr>
          <t xml:space="preserve">
new bid #200k plus dfg</t>
        </r>
      </text>
    </comment>
    <comment ref="A247" authorId="1">
      <text>
        <r>
          <rPr>
            <b/>
            <sz val="8"/>
            <rFont val="Tahoma"/>
            <family val="0"/>
          </rPr>
          <t>nkennedy:</t>
        </r>
        <r>
          <rPr>
            <sz val="8"/>
            <rFont val="Tahoma"/>
            <family val="0"/>
          </rPr>
          <t xml:space="preserve">
see mtfp spreadhseet</t>
        </r>
      </text>
    </comment>
    <comment ref="V247" authorId="1">
      <text>
        <r>
          <rPr>
            <b/>
            <sz val="8"/>
            <rFont val="Tahoma"/>
            <family val="0"/>
          </rPr>
          <t>nkennedy:</t>
        </r>
        <r>
          <rPr>
            <sz val="8"/>
            <rFont val="Tahoma"/>
            <family val="0"/>
          </rPr>
          <t xml:space="preserve">
include #0.39m for extra drf re nhb</t>
        </r>
      </text>
    </comment>
    <comment ref="W247" authorId="1">
      <text>
        <r>
          <rPr>
            <b/>
            <sz val="8"/>
            <rFont val="Tahoma"/>
            <family val="0"/>
          </rPr>
          <t>nkennedy:</t>
        </r>
        <r>
          <rPr>
            <sz val="8"/>
            <rFont val="Tahoma"/>
            <family val="0"/>
          </rPr>
          <t xml:space="preserve">
include #0.39m for extra drf re nhb</t>
        </r>
      </text>
    </comment>
    <comment ref="X247" authorId="1">
      <text>
        <r>
          <rPr>
            <b/>
            <sz val="8"/>
            <rFont val="Tahoma"/>
            <family val="0"/>
          </rPr>
          <t>nkennedy:</t>
        </r>
        <r>
          <rPr>
            <sz val="8"/>
            <rFont val="Tahoma"/>
            <family val="0"/>
          </rPr>
          <t xml:space="preserve">
include #1m for extra drf re nhb</t>
        </r>
      </text>
    </comment>
    <comment ref="Y247" authorId="1">
      <text>
        <r>
          <rPr>
            <b/>
            <sz val="8"/>
            <rFont val="Tahoma"/>
            <family val="0"/>
          </rPr>
          <t>nkennedy:</t>
        </r>
        <r>
          <rPr>
            <sz val="8"/>
            <rFont val="Tahoma"/>
            <family val="0"/>
          </rPr>
          <t xml:space="preserve">
include #1m for extra drf re nhb</t>
        </r>
      </text>
    </comment>
    <comment ref="Z247" authorId="1">
      <text>
        <r>
          <rPr>
            <b/>
            <sz val="8"/>
            <rFont val="Tahoma"/>
            <family val="0"/>
          </rPr>
          <t>nkennedy:</t>
        </r>
        <r>
          <rPr>
            <sz val="8"/>
            <rFont val="Tahoma"/>
            <family val="0"/>
          </rPr>
          <t xml:space="preserve">
include #1m for extra drf re nhb</t>
        </r>
      </text>
    </comment>
    <comment ref="S248" authorId="1">
      <text>
        <r>
          <rPr>
            <b/>
            <sz val="8"/>
            <rFont val="Tahoma"/>
            <family val="0"/>
          </rPr>
          <t>nkennedy:</t>
        </r>
        <r>
          <rPr>
            <sz val="8"/>
            <rFont val="Tahoma"/>
            <family val="0"/>
          </rPr>
          <t xml:space="preserve">
nhb #472 + #300k contingency</t>
        </r>
      </text>
    </comment>
    <comment ref="V248" authorId="1">
      <text>
        <r>
          <rPr>
            <b/>
            <sz val="8"/>
            <rFont val="Tahoma"/>
            <family val="0"/>
          </rPr>
          <t>nkennedy:</t>
        </r>
        <r>
          <rPr>
            <sz val="8"/>
            <rFont val="Tahoma"/>
            <family val="0"/>
          </rPr>
          <t xml:space="preserve">
vat contributions</t>
        </r>
      </text>
    </comment>
    <comment ref="W248" authorId="1">
      <text>
        <r>
          <rPr>
            <b/>
            <sz val="8"/>
            <rFont val="Tahoma"/>
            <family val="0"/>
          </rPr>
          <t>nkennedy:</t>
        </r>
        <r>
          <rPr>
            <sz val="8"/>
            <rFont val="Tahoma"/>
            <family val="0"/>
          </rPr>
          <t xml:space="preserve">
vat contributions</t>
        </r>
      </text>
    </comment>
    <comment ref="X248" authorId="1">
      <text>
        <r>
          <rPr>
            <b/>
            <sz val="8"/>
            <rFont val="Tahoma"/>
            <family val="0"/>
          </rPr>
          <t>nkennedy:</t>
        </r>
        <r>
          <rPr>
            <sz val="8"/>
            <rFont val="Tahoma"/>
            <family val="0"/>
          </rPr>
          <t xml:space="preserve">
none specific -balancing figure</t>
        </r>
      </text>
    </comment>
    <comment ref="A249" authorId="1">
      <text>
        <r>
          <rPr>
            <b/>
            <sz val="8"/>
            <rFont val="Tahoma"/>
            <family val="0"/>
          </rPr>
          <t>nkennedy:</t>
        </r>
        <r>
          <rPr>
            <sz val="8"/>
            <rFont val="Tahoma"/>
            <family val="0"/>
          </rPr>
          <t xml:space="preserve">
see separate spreadsheet</t>
        </r>
      </text>
    </comment>
    <comment ref="Z249" authorId="1">
      <text>
        <r>
          <rPr>
            <b/>
            <sz val="8"/>
            <rFont val="Tahoma"/>
            <family val="0"/>
          </rPr>
          <t>nkennedy:</t>
        </r>
        <r>
          <rPr>
            <sz val="8"/>
            <rFont val="Tahoma"/>
            <family val="0"/>
          </rPr>
          <t xml:space="preserve">
adjusted to fit cap programme</t>
        </r>
      </text>
    </comment>
    <comment ref="V250" authorId="1">
      <text>
        <r>
          <rPr>
            <b/>
            <sz val="8"/>
            <rFont val="Tahoma"/>
            <family val="0"/>
          </rPr>
          <t>nkennedy:</t>
        </r>
        <r>
          <rPr>
            <sz val="8"/>
            <rFont val="Tahoma"/>
            <family val="0"/>
          </rPr>
          <t xml:space="preserve">
#150k on sports paviliions</t>
        </r>
      </text>
    </comment>
    <comment ref="W250" authorId="1">
      <text>
        <r>
          <rPr>
            <b/>
            <sz val="8"/>
            <rFont val="Tahoma"/>
            <family val="0"/>
          </rPr>
          <t>nkennedy:</t>
        </r>
        <r>
          <rPr>
            <sz val="8"/>
            <rFont val="Tahoma"/>
            <family val="0"/>
          </rPr>
          <t xml:space="preserve">
To cover shortfall in capital reciepts</t>
        </r>
      </text>
    </comment>
    <comment ref="X250" authorId="1">
      <text>
        <r>
          <rPr>
            <b/>
            <sz val="8"/>
            <rFont val="Tahoma"/>
            <family val="0"/>
          </rPr>
          <t>nkennedy:</t>
        </r>
        <r>
          <rPr>
            <sz val="8"/>
            <rFont val="Tahoma"/>
            <family val="0"/>
          </rPr>
          <t xml:space="preserve">
To cover shortfall in capital reciepts</t>
        </r>
      </text>
    </comment>
    <comment ref="Y250" authorId="1">
      <text>
        <r>
          <rPr>
            <b/>
            <sz val="8"/>
            <rFont val="Tahoma"/>
            <family val="0"/>
          </rPr>
          <t>nkennedy:</t>
        </r>
        <r>
          <rPr>
            <sz val="8"/>
            <rFont val="Tahoma"/>
            <family val="0"/>
          </rPr>
          <t xml:space="preserve">
To cover shortfall in capital reciepts</t>
        </r>
      </text>
    </comment>
  </commentList>
</comments>
</file>

<file path=xl/sharedStrings.xml><?xml version="1.0" encoding="utf-8"?>
<sst xmlns="http://schemas.openxmlformats.org/spreadsheetml/2006/main" count="329" uniqueCount="307">
  <si>
    <t>Capital Scheme</t>
  </si>
  <si>
    <t>Budget 2010-11 Agresso</t>
  </si>
  <si>
    <t>Spend as at 31st March 11</t>
  </si>
  <si>
    <t>Variance to current budget</t>
  </si>
  <si>
    <t>Carry forward requested</t>
  </si>
  <si>
    <t xml:space="preserve">Comment </t>
  </si>
  <si>
    <t>Budget 2012 Agresso</t>
  </si>
  <si>
    <t>Budget 2013 Agresso</t>
  </si>
  <si>
    <t>Budget 2014 Agresso</t>
  </si>
  <si>
    <t>Budget 2015 Agresso</t>
  </si>
  <si>
    <t>2011/12</t>
  </si>
  <si>
    <t xml:space="preserve">Cary Forward </t>
  </si>
  <si>
    <t>Restated 2011/12</t>
  </si>
  <si>
    <t>Spend as at 30th August</t>
  </si>
  <si>
    <t>Variation</t>
  </si>
  <si>
    <t>2011/12 Forecast outurn</t>
  </si>
  <si>
    <t>% Spend Against Budget</t>
  </si>
  <si>
    <t xml:space="preserve">2012/13 </t>
  </si>
  <si>
    <t>2013/14</t>
  </si>
  <si>
    <t>2014/15</t>
  </si>
  <si>
    <t>2015/16</t>
  </si>
  <si>
    <t>2016/17</t>
  </si>
  <si>
    <t>£</t>
  </si>
  <si>
    <t>A1500 Paradise Street - work of art</t>
  </si>
  <si>
    <t xml:space="preserve">BC:Developer Contribution - has not spend in 2010/11 but the scheme  is due to complete in 2011/12 </t>
  </si>
  <si>
    <t>F0010 Gloucester Green Safety Measures</t>
  </si>
  <si>
    <t>F1323 Bridge Over Fiddlers Stream</t>
  </si>
  <si>
    <t>F1330 Wwork at Donnington Middle School</t>
  </si>
  <si>
    <t>F1332 West End Contributions</t>
  </si>
  <si>
    <t>F6015 Slade Area Public Work of Art</t>
  </si>
  <si>
    <t>BC:Developer Contribution -  the scheme commence late but this will be spent in 2011/12</t>
  </si>
  <si>
    <t>F7004 Littlemore Village Hall - improvement of facilities</t>
  </si>
  <si>
    <t>F7005 Oxford Road /Littlemore improvement</t>
  </si>
  <si>
    <t>F7006 Work of art littlemore</t>
  </si>
  <si>
    <t>NEW Landscaping Work Lamarsh Road</t>
  </si>
  <si>
    <t>NEW CCTV Gipsy Lane Campus</t>
  </si>
  <si>
    <t>M5002 Refurbishment of Bonn Square</t>
  </si>
  <si>
    <t>BC: I have been told that the scheme has been competed however, there is still a small amount of internal recharges has not been paid</t>
  </si>
  <si>
    <t>M5014 West End Partnership (Growth Points Grant)</t>
  </si>
  <si>
    <t>BC: the scheme is a continuous  project and funded from an external grant so, any under spend will be carried forward to 2011/12 as in previous years</t>
  </si>
  <si>
    <t>M5016 Housing Delivery (Funded via New Growth Points)</t>
  </si>
  <si>
    <t>BC:  this is 2009/10 under spend grant and recent review of eligible capital expenditure definition has let to substantial carry forward. In 2011/12  will ensure expenditure on actual housing delivery.</t>
  </si>
  <si>
    <t>NEW Land at Barton</t>
  </si>
  <si>
    <t>S11 City Development Total</t>
  </si>
  <si>
    <t>E3511 Renovation Grants</t>
  </si>
  <si>
    <t>Grant refunds exceeded expenditure</t>
  </si>
  <si>
    <t>E3521 Disabled Facilities Grants</t>
  </si>
  <si>
    <t>09/10 cfwd already slipped into 11/12 (£28,192) - addditional funding (£55k already received to further add to 11/12 budget</t>
  </si>
  <si>
    <t>S12 Environmental Development Total</t>
  </si>
  <si>
    <t>F1096 West Oxford Cylce Route</t>
  </si>
  <si>
    <t>BC:Developer Contribution - Invoice received  after the year end and this has now been paid in 2011/12</t>
  </si>
  <si>
    <t>F5008 West Oxford Cylce Route</t>
  </si>
  <si>
    <t>F5010 Marsh Lane to Stockleys Rd cycle link</t>
  </si>
  <si>
    <t>BC:Developer Contribution - the scheme has commenced late and this will be completed in 2011/12</t>
  </si>
  <si>
    <t>F5011 Barton Cycle Link</t>
  </si>
  <si>
    <t>F6012 Wood Farm Community Centre - provision or enhancement of facilities</t>
  </si>
  <si>
    <t>F6013 Bullingdon Community Centre - provision or enhancement of facilities</t>
  </si>
  <si>
    <t>BC:Developer Contribution - on going scheme and this will be spent in 2011/12</t>
  </si>
  <si>
    <t>F6014 Rose Hill provision or enhancement of community facilities</t>
  </si>
  <si>
    <t>F7007 Woodfarm/headington Community Centre- Improvements</t>
  </si>
  <si>
    <t>G3013 Diamond Place car park footpath extension</t>
  </si>
  <si>
    <t>JG: I was told that this project was completed back in October and have been accruing for the invoice since then. I was expecting Property to have paid the invoice at the end of the year.</t>
  </si>
  <si>
    <t>G3014 East Oxford Community Association Improvements</t>
  </si>
  <si>
    <t>JG: I was requested to move an additional £2550 from revenue but forgot to add this to the total to be slipped into 11/12.  The reason for the slippage is that the specifications for the project are still being agreed</t>
  </si>
  <si>
    <t>G4006 Florence Park CC Kitchen</t>
  </si>
  <si>
    <t>JG: received confirmation on 10/03/11 that one item for this project (notice board) is outstanding and won't be completed until early 11/12  The £1400 needs slipping into 11/12.  What I appear to have done is slipped £1400 from G6010 instead of G4006.</t>
  </si>
  <si>
    <t>G6010 Mount Place Square Refurbishment</t>
  </si>
  <si>
    <t>JG: slipped the £1400 from the wrong code.  Should have been from G4006.  Therefore the variance should be £2801, I was informed on the 10th March that this would not be fully completed and the underspend would need slipping.</t>
  </si>
  <si>
    <t>G6012 South Oxford Community Centre Main Hall Replacement</t>
  </si>
  <si>
    <t>JG: I was informed by JMB on 22nd March that this project would be finished by the end of the year.  An AJ was input into the system so I am assuming that this is the final amount.</t>
  </si>
  <si>
    <t>M5012 Rose Hill Redevelopment</t>
  </si>
  <si>
    <t>JG: This project has been going on for a number of years and each year the spend has been accrued for to offset it against the expected income.  However this treatment is incorrect.  Any income should not show in this line.  The project has now been invoiced for and the capital element of the receipt is in the funding area.</t>
  </si>
  <si>
    <t>M5013 Affordable Housing - Garage Sites</t>
  </si>
  <si>
    <t>M5015 Old Fire Station</t>
  </si>
  <si>
    <t xml:space="preserve">JG:  There have been a number of delays to this project. </t>
  </si>
  <si>
    <t>M5018 Wood Farm Community Building Project</t>
  </si>
  <si>
    <t>Z3718 St Lukes Church - community/facilities</t>
  </si>
  <si>
    <t>S13 Community Housing &amp; Development Total</t>
  </si>
  <si>
    <t>A4800 Barton Pool</t>
  </si>
  <si>
    <t>Over spend netted off under spend from A4800 to A4809 which leaves £267,638 under spend, request to carry forward to 2011/12</t>
  </si>
  <si>
    <t>A4801 BBL Pool</t>
  </si>
  <si>
    <t>spend from A4800 to</t>
  </si>
  <si>
    <t>A4802 BBL LC</t>
  </si>
  <si>
    <t>A4809 which leaves £267,638</t>
  </si>
  <si>
    <t>A4803 Ferry LC</t>
  </si>
  <si>
    <t>under spend, request</t>
  </si>
  <si>
    <t>A4804 Hinksey Pool</t>
  </si>
  <si>
    <t>to carry forward to</t>
  </si>
  <si>
    <t>A4805 Temple Cowley Pool</t>
  </si>
  <si>
    <t>A4806 Ice Rink</t>
  </si>
  <si>
    <t>A4807 Barton Pool Improvements</t>
  </si>
  <si>
    <t>A4808 Blackbird Leys LC Improvements</t>
  </si>
  <si>
    <t>A4809 Ferry Sports Centre Improvements</t>
  </si>
  <si>
    <t>B0003 Roof Repairs &amp; Ext Refur 44-46 George St</t>
  </si>
  <si>
    <t>B0010 Covered Market signage improvements</t>
  </si>
  <si>
    <t>B0012 BBL CC - wiring Improvements</t>
  </si>
  <si>
    <t>BC: due to delay of scheme this amount is requested be carry forward to 2011/12</t>
  </si>
  <si>
    <t>B0014 South oxford CC - replacement rainwater goods</t>
  </si>
  <si>
    <t>B0015 South Oxford CC - Roof refurbishments</t>
  </si>
  <si>
    <t>BC: £7,006 request to carry forward to 2011/12</t>
  </si>
  <si>
    <t>B8347 South Oxon Comm. Centre - install new lift 04/05</t>
  </si>
  <si>
    <t>B9202 Parks properties (H&amp;S works</t>
  </si>
  <si>
    <t>B9203 Community Centres - Water Bylaws and Legionella</t>
  </si>
  <si>
    <t>BC: pay £18,500 for B9021 then the balance of £ 11,500 request to carry forward to 2011/12</t>
  </si>
  <si>
    <t>Communkity centres</t>
  </si>
  <si>
    <t>Rose hill community centre</t>
  </si>
  <si>
    <t>B9207 Northway Centre Demolition</t>
  </si>
  <si>
    <t xml:space="preserve">BC: the scheme is a continuous  project so, any under spend will be carried forward to 2011/12 </t>
  </si>
  <si>
    <t>F1103 Beenhams, Railway Lane - Affordable Housing Scheme</t>
  </si>
  <si>
    <t>Q2000 Offices for the Future</t>
  </si>
  <si>
    <t>Carry forward overspend to fund by 11/12 budget</t>
  </si>
  <si>
    <t>Z7500 Building Improvements (General Fund)</t>
  </si>
  <si>
    <t>Budget to be increased by £82k to match approved budget agreed at council - then this is to be used to fund any overspends in A4800-A4806.</t>
  </si>
  <si>
    <t>B0022 DDA East Oxford Community Centre Lift</t>
  </si>
  <si>
    <t>B1001 Blackwells Music Shop repairs</t>
  </si>
  <si>
    <t>B1002 -Town Hall PA system upgrades</t>
  </si>
  <si>
    <t>B1003 - Town Hall pigeon proofing</t>
  </si>
  <si>
    <t>B1004 - Covered Market repairs/upgrading</t>
  </si>
  <si>
    <t>B1005 Town Hall</t>
  </si>
  <si>
    <t>B1006 Bury Knowle external repair/decoration</t>
  </si>
  <si>
    <t>Z7506 Building Improvements (GF Leisure)</t>
  </si>
  <si>
    <t>NEW Parks and cemetery stone wall &amp; path improvements</t>
  </si>
  <si>
    <t>NEW Refurbishment of Council Buildings</t>
  </si>
  <si>
    <t>NEW Improvements and upgrade of roof at covered market</t>
  </si>
  <si>
    <t>NEW Installation to new roof structures at Avenue A3 from High St in Cov Mark</t>
  </si>
  <si>
    <t>Investment covered market</t>
  </si>
  <si>
    <t>Public toilets</t>
  </si>
  <si>
    <t>Misc admin buildings</t>
  </si>
  <si>
    <t>Misc civic proiperties</t>
  </si>
  <si>
    <t>Bury knowle House</t>
  </si>
  <si>
    <t>Investment broad street</t>
  </si>
  <si>
    <t>Investment city centre properties</t>
  </si>
  <si>
    <t>Property surveys</t>
  </si>
  <si>
    <t>Town Hall</t>
  </si>
  <si>
    <t>NEW Upgrade to lettable condition 33-35 George St</t>
  </si>
  <si>
    <t>NEW Hinksey Pools main pool liner</t>
  </si>
  <si>
    <t>NEW Leisure Centre substantive repairs</t>
  </si>
  <si>
    <t>NEW Consolidation of Parka department South Parks to Cutteslowe</t>
  </si>
  <si>
    <t xml:space="preserve">B0056 City Centre Office Security </t>
  </si>
  <si>
    <t>NEW- Town Hall fire escape (Blue Boar Street)</t>
  </si>
  <si>
    <t>S14 Corporate Assets Total</t>
  </si>
  <si>
    <t>C3041 New server for telephone system</t>
  </si>
  <si>
    <t>c-fwd to 11/12</t>
  </si>
  <si>
    <t>NEW Customer First Programme</t>
  </si>
  <si>
    <t>S21 Customer Services Total</t>
  </si>
  <si>
    <t>A1161 Frys Hill Leisure Centre</t>
  </si>
  <si>
    <t>schemes delayed into 11-12. Due to small budget set in 11-12, carryfwd of any underspend required.</t>
  </si>
  <si>
    <t>A1300 Playground Refurbishment</t>
  </si>
  <si>
    <t>A2808 Replacement Sports Facilities - Cowley Marsh</t>
  </si>
  <si>
    <t>BC:Developer Contribution - waiting a final invoice and this will be spent in 2011/12</t>
  </si>
  <si>
    <t>A3115 Barton Village Recreation Groung - Improvements</t>
  </si>
  <si>
    <t>A3120 Florence Park Public Open Space/children Play Area</t>
  </si>
  <si>
    <t>A3124 Barton Village Pavillion</t>
  </si>
  <si>
    <t>A3125 Milham Ford Park land and Recreational Facilities</t>
  </si>
  <si>
    <t>A3129 Donnington Recreation Ground Improvements</t>
  </si>
  <si>
    <t>F6001 Ferry Centre - provision or enhancement of  facilities</t>
  </si>
  <si>
    <t>F6002 Temple Cowley Pool Provision or enhancement of facilities</t>
  </si>
  <si>
    <t>F6003 Barton Pool - Provision of indoor sports facilities</t>
  </si>
  <si>
    <t>F6004 St Christophers Place - enhancement of play area</t>
  </si>
  <si>
    <t>F6005 Barracks lane Allotments - enhancement of facilities</t>
  </si>
  <si>
    <t>F6006 Sunnymead Park - enhancement of play area facilities</t>
  </si>
  <si>
    <t>F6009 Town Furze Allotments - enhancement of facilities</t>
  </si>
  <si>
    <t>F6010 Dene Road Play Area - enhancement of facilities at dene road or bullingdon</t>
  </si>
  <si>
    <t>F7001 Cuddesdon Way -relocation of street sports site</t>
  </si>
  <si>
    <t>F7002 Margaret Road Recreation Ground - Improvments</t>
  </si>
  <si>
    <t>F7003 Temple Cowley/Blackbird Leys - improvements to indoor</t>
  </si>
  <si>
    <t>Z3008 Contribution to Skate Park</t>
  </si>
  <si>
    <t>Z3009 Contribution to Barton Pavilion</t>
  </si>
  <si>
    <t>A1301 Play Barton</t>
  </si>
  <si>
    <t>Scheme delayed due to funding uncertainty (Playbuilder grant initially pulled by central govt - then re-instated)</t>
  </si>
  <si>
    <t>A4810 New Build Competion Pool</t>
  </si>
  <si>
    <t>Exp of £562k to be transferred from Revenue - any underspend to needed in 11/12 for final project tender stage expenditure</t>
  </si>
  <si>
    <t>Z8009 Bury Knowle Park - Improvements</t>
  </si>
  <si>
    <t>Z3010 Rosehill/IffleY Play Sites</t>
  </si>
  <si>
    <t>Linked to £37k Revenue budget in Parks which is part of a larger Rose Hill.scheme in Comm Housing (F6014)</t>
  </si>
  <si>
    <t>NEW Develop new burial space</t>
  </si>
  <si>
    <t>NEW Ice Rink improvments of facilities</t>
  </si>
  <si>
    <t>NEW North/Jericho Area - Provision of indoor sport</t>
  </si>
  <si>
    <t>NEW Slade Area - Indoor/Outdoor sprots facilities</t>
  </si>
  <si>
    <t>NEW Recreation/Sports - City of Oxford</t>
  </si>
  <si>
    <t>NEW Oxrad/Ferry indoor sports</t>
  </si>
  <si>
    <t>NEW Florence park Improvements</t>
  </si>
  <si>
    <t>NEW Herschel Crescent Ground Improvements</t>
  </si>
  <si>
    <t>NEW Rose Hill Play Area Improvements</t>
  </si>
  <si>
    <t>G1013 Dawson Street Gardens</t>
  </si>
  <si>
    <t>G3015 NE Marston Croft Road Recreation Ground</t>
  </si>
  <si>
    <t>G3016 Peat Moors all weather pitch</t>
  </si>
  <si>
    <t>NEW Rose Hill Recreation Ground Improvements</t>
  </si>
  <si>
    <t>NEW Rose Hill Work of Art</t>
  </si>
  <si>
    <t>S22 City Leisure Total</t>
  </si>
  <si>
    <t>A1217 Aristotle Lane Improvements</t>
  </si>
  <si>
    <t>pay and siplay machine sin parks</t>
  </si>
  <si>
    <t>F6011 Meadow Lane - improvements to recreational facilities</t>
  </si>
  <si>
    <t>R0005 MT Vehicles/Plant Replacement Prog.</t>
  </si>
  <si>
    <t>Undelivered vehicles and replacement programme carry over</t>
  </si>
  <si>
    <t>Brown bins for recycling</t>
  </si>
  <si>
    <t>NEW Purchase of two hand operated street sweepers</t>
  </si>
  <si>
    <t>NEW Purchase of two vehicles for garden waste collection</t>
  </si>
  <si>
    <t>NEW Purchase of ANPR for use in car park enforcement</t>
  </si>
  <si>
    <t>NEW Pay &amp; Display machines</t>
  </si>
  <si>
    <t>No carry forward required</t>
  </si>
  <si>
    <t>S23 City Works Total</t>
  </si>
  <si>
    <t>C3039 ICT Infrastructure</t>
  </si>
  <si>
    <t>NEW ICT Development</t>
  </si>
  <si>
    <t>S31 Business Transformation Total</t>
  </si>
  <si>
    <t>Existing Programme</t>
  </si>
  <si>
    <t>New Bids</t>
  </si>
  <si>
    <t>1 Floyd Row</t>
  </si>
  <si>
    <t>CCTV Replacement Programme</t>
  </si>
  <si>
    <t>Vehicle &amp; Plant Replacement Programme</t>
  </si>
  <si>
    <t>New Depot</t>
  </si>
  <si>
    <t>Leisure Centre Improvement Work</t>
  </si>
  <si>
    <t>Software Licences</t>
  </si>
  <si>
    <t>Northway Playing Field (Purchase of Land)</t>
  </si>
  <si>
    <t>Covered Market Replacement Sprinker System</t>
  </si>
  <si>
    <t>Cemetery Development</t>
  </si>
  <si>
    <t>Corporate Property Planned Maintenace Programme Yrs 5 &amp; 6</t>
  </si>
  <si>
    <t>Covered Market - Improvements to Emergency Lighting</t>
  </si>
  <si>
    <t>Lye Valley &amp; Chiswell Valley Walkways</t>
  </si>
  <si>
    <t>ICT Infrastructure</t>
  </si>
  <si>
    <t>Sports Pavillions</t>
  </si>
  <si>
    <t>Rose Hill Cemetery Water Leak</t>
  </si>
  <si>
    <t>Parks &amp; Cemetery - Masonry Walls &amp; Path Improvements</t>
  </si>
  <si>
    <t>Town Hall - Fire Alarm replacement &amp; upgrade</t>
  </si>
  <si>
    <t>Upgrade Existing Tennis Courts</t>
  </si>
  <si>
    <t>Upgrade Existing  Multi-Use Games Area</t>
  </si>
  <si>
    <t>Recycling &amp; Bin Improvement (City Parks)</t>
  </si>
  <si>
    <t>Fencing Repairs across the City</t>
  </si>
  <si>
    <t>Town Hall - Audio visual equipment etc</t>
  </si>
  <si>
    <t>Carbon reduction</t>
  </si>
  <si>
    <t>Toilet improvments</t>
  </si>
  <si>
    <t>Cycle Oxford</t>
  </si>
  <si>
    <t>Bin stores for council flats to assit recycling</t>
  </si>
  <si>
    <t>Low emmission vehicle for litter bin collection</t>
  </si>
  <si>
    <t>N6380 Windows 05/06</t>
  </si>
  <si>
    <t>N6384 Foresters Towers</t>
  </si>
  <si>
    <t>to fund future work programme</t>
  </si>
  <si>
    <t>N6385 Adaptations for disabled</t>
  </si>
  <si>
    <t>Decent Homes</t>
  </si>
  <si>
    <t>N6386 Structural</t>
  </si>
  <si>
    <t>N6387 Controlled Entry</t>
  </si>
  <si>
    <t xml:space="preserve">Delayed start on the scheme </t>
  </si>
  <si>
    <t>N6388 Major Voids</t>
  </si>
  <si>
    <t>N6389 Damp-proof works (K&amp;B)</t>
  </si>
  <si>
    <t>N6390 Kitchens (excluding wiring)</t>
  </si>
  <si>
    <t>Decent homes schemes, to fund future overspends in these schemes</t>
  </si>
  <si>
    <t>N6391 Heating</t>
  </si>
  <si>
    <t>N6392 Roofing</t>
  </si>
  <si>
    <t>N6393 External Doors</t>
  </si>
  <si>
    <t>N6394 Windows</t>
  </si>
  <si>
    <t>N6395 Electrics</t>
  </si>
  <si>
    <t>N6396 Sheltered Blk, George Moore</t>
  </si>
  <si>
    <t>N6426 BISF´s</t>
  </si>
  <si>
    <t>N6427 Shops</t>
  </si>
  <si>
    <t>N6430 Evenlode tower</t>
  </si>
  <si>
    <t>N6431 Windrush Tower</t>
  </si>
  <si>
    <t>N6432 Plowman Tower</t>
  </si>
  <si>
    <t>N7006 Northbrook House - Refurbishment</t>
  </si>
  <si>
    <t>N7010 Headley House - Refurbishment</t>
  </si>
  <si>
    <t>N7011 Cardinal House - Refurbishment</t>
  </si>
  <si>
    <t>N7012 Grantham House - Refurbishment</t>
  </si>
  <si>
    <t>N7013 Bradlands House - Refurbishment</t>
  </si>
  <si>
    <t>N7015 Knights House - Refurbishment</t>
  </si>
  <si>
    <t>N7017 Aireys</t>
  </si>
  <si>
    <t>N7019 Lambourn Road</t>
  </si>
  <si>
    <t>Tower Blocks</t>
  </si>
  <si>
    <t>Adaptations for the disabled</t>
  </si>
  <si>
    <t>Electrics (part of kitchen programme)</t>
  </si>
  <si>
    <t>Electrics rewires/upgrades</t>
  </si>
  <si>
    <t>Bathrooms</t>
  </si>
  <si>
    <t>Central Heating boilers</t>
  </si>
  <si>
    <t>Central Heating carcusses</t>
  </si>
  <si>
    <t>Roofs and associated works</t>
  </si>
  <si>
    <t>windows</t>
  </si>
  <si>
    <t>doors</t>
  </si>
  <si>
    <t>communal areas</t>
  </si>
  <si>
    <t>Environmental improvements</t>
  </si>
  <si>
    <t>related assets garages , shops etc</t>
  </si>
  <si>
    <t>contingency 5% major repairs</t>
  </si>
  <si>
    <t>Fees 7%</t>
  </si>
  <si>
    <t>Developer contributions</t>
  </si>
  <si>
    <t>Government Funding</t>
  </si>
  <si>
    <t>Capital Receipts</t>
  </si>
  <si>
    <t>Direct Revenue Funding-council repairs, dfg and ICT</t>
  </si>
  <si>
    <t>Revenue Reserves</t>
  </si>
  <si>
    <t>DRF for vehicles sinking fund</t>
  </si>
  <si>
    <t>Prudential Borrowing</t>
  </si>
  <si>
    <t>Total Financing</t>
  </si>
  <si>
    <t>(Shortfall)/ Surplus</t>
  </si>
  <si>
    <t>Additional DRF</t>
  </si>
  <si>
    <t>Base drf</t>
  </si>
  <si>
    <t>Prud Borrowing</t>
  </si>
  <si>
    <t>Pool</t>
  </si>
  <si>
    <t>Pru borrowing other</t>
  </si>
  <si>
    <t>Reduction of pru borrwoing</t>
  </si>
  <si>
    <t>Appendix 6</t>
  </si>
  <si>
    <t>General Fund Capital Programme</t>
  </si>
  <si>
    <t>Financing</t>
  </si>
  <si>
    <t>HRA New Capital Schemes</t>
  </si>
  <si>
    <t>New Capital Schemes</t>
  </si>
  <si>
    <t>Total New Capital Schemes</t>
  </si>
  <si>
    <t>Total General Fund  Schemes</t>
  </si>
  <si>
    <t>Total Housing Revenue Account Capital Schemes</t>
  </si>
  <si>
    <t>Total Capital Programme</t>
  </si>
  <si>
    <t>Kitchens (excluding wiring)</t>
  </si>
  <si>
    <t>Housing Revenue Funding</t>
  </si>
  <si>
    <t xml:space="preserve"> Capital Programme 2012/13 to 2015/16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</si>
</sst>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0;\(#,##0\)"/>
    <numFmt numFmtId="174" formatCode="#,##0;[Red]\ \(#,##0\)"/>
    <numFmt numFmtId="175" formatCode="#,##0_ ;[Red]\-#,##0\ "/>
    <numFmt numFmtId="176" formatCode="#,##0.00_ ;[Red]\-#,##0.00\ "/>
  </numFmts>
  <fonts count="9">
    <font>
      <sz val="10"/>
      <name val="Arial"/>
      <family val="0"/>
    </font>
    <font>
      <b/>
      <sz val="16"/>
      <name val="Arial"/>
      <family val="2"/>
    </font>
    <font>
      <b/>
      <sz val="10"/>
      <name val="Arial"/>
      <family val="2"/>
    </font>
    <font>
      <b/>
      <sz val="8"/>
      <name val="Tahoma"/>
      <family val="0"/>
    </font>
    <font>
      <sz val="8"/>
      <name val="Tahoma"/>
      <family val="0"/>
    </font>
    <font>
      <sz val="8"/>
      <name val="Arial"/>
      <family val="0"/>
    </font>
    <font>
      <b/>
      <sz val="12"/>
      <name val="Arial"/>
      <family val="2"/>
    </font>
    <font>
      <b/>
      <sz val="11"/>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color indexed="8"/>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172" fontId="2" fillId="2" borderId="1" xfId="0" applyNumberFormat="1" applyFont="1" applyFill="1" applyBorder="1" applyAlignment="1">
      <alignment vertical="top" wrapText="1"/>
    </xf>
    <xf numFmtId="172" fontId="2" fillId="2" borderId="1" xfId="0" applyNumberFormat="1" applyFont="1" applyFill="1" applyBorder="1" applyAlignment="1">
      <alignment horizontal="left" vertical="top" wrapText="1"/>
    </xf>
    <xf numFmtId="172" fontId="2" fillId="2" borderId="0" xfId="0" applyNumberFormat="1" applyFont="1" applyFill="1" applyBorder="1" applyAlignment="1">
      <alignment vertical="top" wrapText="1"/>
    </xf>
    <xf numFmtId="173" fontId="0" fillId="2" borderId="0" xfId="0" applyNumberFormat="1" applyFill="1" applyAlignment="1">
      <alignment vertical="top" wrapText="1"/>
    </xf>
    <xf numFmtId="3" fontId="2" fillId="2" borderId="1" xfId="0" applyNumberFormat="1" applyFont="1" applyFill="1" applyBorder="1" applyAlignment="1">
      <alignment vertical="top" wrapText="1"/>
    </xf>
    <xf numFmtId="9" fontId="2" fillId="2" borderId="2" xfId="0" applyNumberFormat="1" applyFont="1" applyFill="1" applyBorder="1" applyAlignment="1">
      <alignment vertical="top" wrapText="1"/>
    </xf>
    <xf numFmtId="3" fontId="2" fillId="2" borderId="3" xfId="0" applyNumberFormat="1" applyFont="1" applyFill="1" applyBorder="1" applyAlignment="1">
      <alignment vertical="top" wrapText="1"/>
    </xf>
    <xf numFmtId="9" fontId="2" fillId="2" borderId="1" xfId="0" applyNumberFormat="1" applyFont="1" applyFill="1" applyBorder="1" applyAlignment="1">
      <alignment vertical="top" wrapText="1"/>
    </xf>
    <xf numFmtId="0" fontId="2" fillId="2" borderId="4" xfId="0" applyFont="1" applyFill="1" applyBorder="1" applyAlignment="1">
      <alignment vertical="top" wrapText="1"/>
    </xf>
    <xf numFmtId="172" fontId="2" fillId="2" borderId="4" xfId="0" applyNumberFormat="1" applyFont="1" applyFill="1" applyBorder="1" applyAlignment="1">
      <alignment vertical="top" wrapText="1"/>
    </xf>
    <xf numFmtId="172" fontId="2" fillId="2" borderId="4" xfId="0" applyNumberFormat="1" applyFont="1" applyFill="1" applyBorder="1" applyAlignment="1">
      <alignment horizontal="left" vertical="top" wrapText="1"/>
    </xf>
    <xf numFmtId="173" fontId="0" fillId="2" borderId="4" xfId="0" applyNumberFormat="1" applyFill="1" applyBorder="1" applyAlignment="1">
      <alignment vertical="top" wrapText="1"/>
    </xf>
    <xf numFmtId="3" fontId="2" fillId="2" borderId="4" xfId="0" applyNumberFormat="1" applyFont="1" applyFill="1" applyBorder="1" applyAlignment="1">
      <alignment vertical="top" wrapText="1"/>
    </xf>
    <xf numFmtId="9" fontId="2" fillId="2" borderId="4" xfId="0" applyNumberFormat="1" applyFont="1" applyFill="1" applyBorder="1" applyAlignment="1">
      <alignment vertical="top" wrapText="1"/>
    </xf>
    <xf numFmtId="3" fontId="0" fillId="2" borderId="4" xfId="0" applyNumberFormat="1" applyFill="1" applyBorder="1" applyAlignment="1">
      <alignment vertical="top" wrapText="1"/>
    </xf>
    <xf numFmtId="172" fontId="2" fillId="2" borderId="5" xfId="0" applyNumberFormat="1" applyFont="1" applyFill="1" applyBorder="1" applyAlignment="1">
      <alignment vertical="top" wrapText="1"/>
    </xf>
    <xf numFmtId="172" fontId="2" fillId="2" borderId="5" xfId="0" applyNumberFormat="1" applyFont="1" applyFill="1" applyBorder="1" applyAlignment="1">
      <alignment horizontal="left" vertical="top" wrapText="1"/>
    </xf>
    <xf numFmtId="3" fontId="2" fillId="2" borderId="5" xfId="0" applyNumberFormat="1" applyFont="1" applyFill="1" applyBorder="1" applyAlignment="1">
      <alignment vertical="top" wrapText="1"/>
    </xf>
    <xf numFmtId="172" fontId="2" fillId="2" borderId="3" xfId="0" applyNumberFormat="1" applyFont="1" applyFill="1" applyBorder="1" applyAlignment="1">
      <alignment vertical="top"/>
    </xf>
    <xf numFmtId="172" fontId="2" fillId="2" borderId="3" xfId="0" applyNumberFormat="1" applyFont="1" applyFill="1" applyBorder="1" applyAlignment="1">
      <alignment horizontal="left" vertical="top" wrapText="1"/>
    </xf>
    <xf numFmtId="172" fontId="2" fillId="2" borderId="3" xfId="0" applyNumberFormat="1" applyFont="1" applyFill="1" applyBorder="1" applyAlignment="1">
      <alignment vertical="top" wrapText="1"/>
    </xf>
    <xf numFmtId="0" fontId="2" fillId="2" borderId="3" xfId="0" applyFont="1" applyFill="1" applyBorder="1" applyAlignment="1">
      <alignment vertical="top" wrapText="1"/>
    </xf>
    <xf numFmtId="3" fontId="2" fillId="2" borderId="3" xfId="0" applyNumberFormat="1" applyFont="1" applyFill="1" applyBorder="1" applyAlignment="1">
      <alignment vertical="top"/>
    </xf>
    <xf numFmtId="9" fontId="2" fillId="2" borderId="3" xfId="0" applyNumberFormat="1" applyFont="1" applyFill="1" applyBorder="1" applyAlignment="1">
      <alignment vertical="top" wrapText="1"/>
    </xf>
    <xf numFmtId="3" fontId="2" fillId="2" borderId="2" xfId="0" applyNumberFormat="1" applyFont="1" applyFill="1" applyBorder="1" applyAlignment="1">
      <alignment vertical="top"/>
    </xf>
    <xf numFmtId="173" fontId="2" fillId="2" borderId="3" xfId="0" applyNumberFormat="1" applyFont="1" applyFill="1" applyBorder="1" applyAlignment="1">
      <alignment vertical="top" wrapText="1"/>
    </xf>
    <xf numFmtId="0" fontId="0" fillId="2" borderId="3" xfId="0" applyFill="1" applyBorder="1" applyAlignment="1">
      <alignment horizontal="left" vertical="top" wrapText="1"/>
    </xf>
    <xf numFmtId="0" fontId="0" fillId="2" borderId="3" xfId="0" applyFill="1" applyBorder="1" applyAlignment="1">
      <alignment vertical="top" wrapText="1"/>
    </xf>
    <xf numFmtId="174" fontId="0" fillId="3" borderId="0" xfId="0" applyNumberFormat="1" applyFill="1" applyAlignment="1">
      <alignment vertical="top"/>
    </xf>
    <xf numFmtId="172" fontId="2" fillId="3" borderId="0" xfId="0" applyNumberFormat="1" applyFont="1" applyFill="1" applyBorder="1" applyAlignment="1">
      <alignment vertical="top" wrapText="1"/>
    </xf>
    <xf numFmtId="172" fontId="2" fillId="3" borderId="0" xfId="0" applyNumberFormat="1" applyFont="1" applyFill="1" applyBorder="1" applyAlignment="1">
      <alignment horizontal="left" vertical="top" wrapText="1"/>
    </xf>
    <xf numFmtId="173" fontId="2" fillId="3" borderId="0" xfId="0" applyNumberFormat="1" applyFont="1" applyFill="1" applyBorder="1" applyAlignment="1">
      <alignment vertical="top" wrapText="1"/>
    </xf>
    <xf numFmtId="3" fontId="2" fillId="3" borderId="0" xfId="0" applyNumberFormat="1" applyFont="1" applyFill="1" applyBorder="1" applyAlignment="1">
      <alignment vertical="top" wrapText="1"/>
    </xf>
    <xf numFmtId="3" fontId="0" fillId="3" borderId="0" xfId="0" applyNumberFormat="1" applyFont="1" applyFill="1" applyBorder="1" applyAlignment="1">
      <alignment vertical="top" wrapText="1"/>
    </xf>
    <xf numFmtId="9" fontId="0" fillId="3" borderId="0" xfId="0" applyNumberFormat="1" applyFont="1" applyFill="1" applyBorder="1" applyAlignment="1">
      <alignment vertical="top" wrapText="1"/>
    </xf>
    <xf numFmtId="3" fontId="0" fillId="3" borderId="0" xfId="0" applyNumberFormat="1" applyFont="1" applyFill="1" applyAlignment="1">
      <alignment vertical="top" wrapText="1"/>
    </xf>
    <xf numFmtId="41" fontId="0" fillId="3" borderId="0" xfId="15" applyNumberFormat="1" applyFont="1" applyFill="1" applyBorder="1" applyAlignment="1">
      <alignment horizontal="right" vertical="top"/>
    </xf>
    <xf numFmtId="0" fontId="2" fillId="3" borderId="0" xfId="0" applyFont="1" applyFill="1" applyBorder="1" applyAlignment="1">
      <alignment vertical="top" wrapText="1"/>
    </xf>
    <xf numFmtId="41" fontId="0" fillId="3" borderId="0" xfId="15" applyNumberFormat="1" applyFont="1" applyFill="1" applyBorder="1" applyAlignment="1">
      <alignment vertical="top"/>
    </xf>
    <xf numFmtId="173" fontId="0" fillId="3" borderId="0" xfId="0" applyNumberFormat="1" applyFill="1" applyAlignment="1">
      <alignment vertical="top" wrapText="1"/>
    </xf>
    <xf numFmtId="0" fontId="0" fillId="3" borderId="0" xfId="0" applyFill="1" applyBorder="1" applyAlignment="1">
      <alignment vertical="top"/>
    </xf>
    <xf numFmtId="172" fontId="0" fillId="3" borderId="0" xfId="0" applyNumberFormat="1" applyFill="1" applyBorder="1" applyAlignment="1">
      <alignment vertical="top" wrapText="1"/>
    </xf>
    <xf numFmtId="172" fontId="0" fillId="3" borderId="0" xfId="0" applyNumberFormat="1" applyFill="1" applyBorder="1" applyAlignment="1">
      <alignment horizontal="left" vertical="top" wrapText="1"/>
    </xf>
    <xf numFmtId="0" fontId="0" fillId="3" borderId="0" xfId="0" applyFill="1" applyAlignment="1">
      <alignment vertical="top" wrapText="1"/>
    </xf>
    <xf numFmtId="3" fontId="0" fillId="3" borderId="0" xfId="0" applyNumberFormat="1" applyFill="1" applyBorder="1" applyAlignment="1">
      <alignment vertical="top" wrapText="1"/>
    </xf>
    <xf numFmtId="3" fontId="0" fillId="3" borderId="0" xfId="0" applyNumberFormat="1" applyFill="1" applyAlignment="1">
      <alignment vertical="top" wrapText="1"/>
    </xf>
    <xf numFmtId="174" fontId="0" fillId="3" borderId="0" xfId="0" applyNumberFormat="1" applyFill="1" applyBorder="1" applyAlignment="1">
      <alignment vertical="top"/>
    </xf>
    <xf numFmtId="38" fontId="0" fillId="3" borderId="0" xfId="0" applyNumberFormat="1" applyFill="1" applyBorder="1" applyAlignment="1">
      <alignment vertical="top"/>
    </xf>
    <xf numFmtId="9" fontId="0" fillId="3" borderId="0" xfId="0" applyNumberFormat="1" applyFill="1" applyBorder="1" applyAlignment="1">
      <alignment vertical="top" wrapText="1"/>
    </xf>
    <xf numFmtId="174" fontId="0" fillId="3" borderId="0" xfId="0" applyNumberFormat="1" applyFont="1" applyFill="1" applyBorder="1" applyAlignment="1">
      <alignment horizontal="right" vertical="top"/>
    </xf>
    <xf numFmtId="174" fontId="2" fillId="3" borderId="6" xfId="0" applyNumberFormat="1" applyFont="1" applyFill="1" applyBorder="1" applyAlignment="1">
      <alignment horizontal="right" vertical="top"/>
    </xf>
    <xf numFmtId="0" fontId="1" fillId="3" borderId="0" xfId="0" applyFont="1" applyFill="1" applyAlignment="1">
      <alignment horizontal="center" vertical="top" wrapText="1"/>
    </xf>
    <xf numFmtId="0" fontId="0" fillId="3" borderId="0" xfId="0" applyFill="1" applyAlignment="1">
      <alignment horizontal="left" vertical="top" wrapText="1"/>
    </xf>
    <xf numFmtId="0" fontId="0" fillId="3" borderId="0" xfId="0" applyFill="1" applyBorder="1" applyAlignment="1">
      <alignment vertical="top" wrapText="1"/>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wrapText="1"/>
    </xf>
    <xf numFmtId="0" fontId="2" fillId="3" borderId="0" xfId="0" applyFont="1" applyFill="1" applyAlignment="1">
      <alignment horizontal="center" vertical="top" wrapText="1"/>
    </xf>
    <xf numFmtId="3" fontId="0" fillId="3" borderId="0" xfId="0" applyNumberFormat="1" applyFill="1" applyBorder="1" applyAlignment="1">
      <alignment vertical="top"/>
    </xf>
    <xf numFmtId="9" fontId="0" fillId="3" borderId="0" xfId="0" applyNumberFormat="1" applyFill="1" applyAlignment="1">
      <alignment vertical="top" wrapText="1"/>
    </xf>
    <xf numFmtId="9" fontId="0" fillId="3" borderId="2" xfId="0" applyNumberFormat="1" applyFill="1" applyBorder="1" applyAlignment="1">
      <alignment vertical="top" wrapText="1"/>
    </xf>
    <xf numFmtId="172" fontId="2" fillId="3" borderId="1" xfId="0" applyNumberFormat="1" applyFont="1" applyFill="1" applyBorder="1" applyAlignment="1">
      <alignment vertical="top" wrapText="1"/>
    </xf>
    <xf numFmtId="172" fontId="2" fillId="3" borderId="1" xfId="0" applyNumberFormat="1" applyFont="1" applyFill="1" applyBorder="1" applyAlignment="1">
      <alignment horizontal="left" vertical="top" wrapText="1"/>
    </xf>
    <xf numFmtId="3" fontId="2" fillId="3" borderId="1" xfId="0" applyNumberFormat="1" applyFont="1" applyFill="1" applyBorder="1" applyAlignment="1">
      <alignment vertical="top" wrapText="1"/>
    </xf>
    <xf numFmtId="9" fontId="2" fillId="3" borderId="2" xfId="0" applyNumberFormat="1" applyFont="1" applyFill="1" applyBorder="1" applyAlignment="1">
      <alignment vertical="top" wrapText="1"/>
    </xf>
    <xf numFmtId="3" fontId="2" fillId="3" borderId="3" xfId="0" applyNumberFormat="1" applyFont="1" applyFill="1" applyBorder="1" applyAlignment="1">
      <alignment vertical="top" wrapText="1"/>
    </xf>
    <xf numFmtId="0" fontId="2" fillId="3" borderId="0" xfId="0" applyFont="1" applyFill="1" applyAlignment="1">
      <alignment vertical="top" wrapText="1"/>
    </xf>
    <xf numFmtId="175" fontId="0" fillId="3" borderId="0" xfId="0" applyNumberFormat="1" applyFill="1" applyBorder="1" applyAlignment="1">
      <alignment vertical="top"/>
    </xf>
    <xf numFmtId="173" fontId="0" fillId="3" borderId="0" xfId="0" applyNumberFormat="1" applyFill="1" applyBorder="1" applyAlignment="1">
      <alignment vertical="top" wrapText="1"/>
    </xf>
    <xf numFmtId="175" fontId="0" fillId="3" borderId="0" xfId="0" applyNumberFormat="1" applyFill="1" applyAlignment="1">
      <alignment vertical="top"/>
    </xf>
    <xf numFmtId="172" fontId="0" fillId="3" borderId="0" xfId="0" applyNumberFormat="1" applyFill="1" applyBorder="1" applyAlignment="1">
      <alignment horizontal="center" vertical="top" wrapText="1"/>
    </xf>
    <xf numFmtId="3" fontId="0" fillId="3" borderId="0" xfId="0" applyNumberFormat="1" applyFont="1" applyFill="1" applyBorder="1" applyAlignment="1">
      <alignment vertical="top"/>
    </xf>
    <xf numFmtId="176" fontId="0" fillId="3" borderId="0" xfId="0" applyNumberFormat="1" applyFill="1" applyBorder="1" applyAlignment="1">
      <alignment vertical="top"/>
    </xf>
    <xf numFmtId="49" fontId="0" fillId="3" borderId="0" xfId="0" applyNumberFormat="1" applyFill="1" applyBorder="1" applyAlignment="1">
      <alignment vertical="top" wrapText="1"/>
    </xf>
    <xf numFmtId="0" fontId="0" fillId="3" borderId="0" xfId="0" applyFont="1" applyFill="1" applyBorder="1" applyAlignment="1">
      <alignment vertical="top"/>
    </xf>
    <xf numFmtId="38" fontId="0" fillId="3" borderId="0" xfId="0" applyNumberFormat="1" applyFont="1" applyFill="1" applyBorder="1" applyAlignment="1">
      <alignment vertical="top"/>
    </xf>
    <xf numFmtId="3" fontId="2" fillId="3" borderId="7" xfId="0" applyNumberFormat="1" applyFont="1" applyFill="1" applyBorder="1" applyAlignment="1">
      <alignment vertical="top" wrapText="1"/>
    </xf>
    <xf numFmtId="9" fontId="2" fillId="3" borderId="7" xfId="0" applyNumberFormat="1" applyFont="1" applyFill="1" applyBorder="1" applyAlignment="1">
      <alignment vertical="top" wrapText="1"/>
    </xf>
    <xf numFmtId="9" fontId="2" fillId="3" borderId="0" xfId="0" applyNumberFormat="1" applyFont="1" applyFill="1" applyBorder="1" applyAlignment="1">
      <alignment vertical="top" wrapText="1"/>
    </xf>
    <xf numFmtId="174" fontId="2" fillId="3" borderId="0" xfId="0" applyNumberFormat="1" applyFont="1" applyFill="1" applyBorder="1" applyAlignment="1">
      <alignment horizontal="right" vertical="top"/>
    </xf>
    <xf numFmtId="172" fontId="0" fillId="3" borderId="0" xfId="0" applyNumberFormat="1" applyFill="1" applyAlignment="1">
      <alignment vertical="top" wrapText="1"/>
    </xf>
    <xf numFmtId="172" fontId="0" fillId="3" borderId="0" xfId="0" applyNumberFormat="1" applyFill="1" applyAlignment="1">
      <alignment horizontal="left" vertical="top" wrapText="1"/>
    </xf>
    <xf numFmtId="172" fontId="2" fillId="3" borderId="0" xfId="0" applyNumberFormat="1" applyFont="1" applyFill="1" applyAlignment="1">
      <alignment vertical="top" wrapText="1"/>
    </xf>
    <xf numFmtId="0" fontId="2" fillId="3" borderId="0" xfId="0" applyFont="1" applyFill="1" applyAlignment="1">
      <alignment horizontal="left" vertical="top" wrapText="1"/>
    </xf>
    <xf numFmtId="3" fontId="2" fillId="3" borderId="0" xfId="0" applyNumberFormat="1" applyFont="1" applyFill="1" applyAlignment="1">
      <alignment vertical="top" wrapText="1"/>
    </xf>
    <xf numFmtId="172" fontId="0" fillId="3" borderId="0" xfId="0" applyNumberFormat="1" applyFont="1" applyFill="1" applyAlignment="1">
      <alignment vertical="top"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Border="1" applyAlignment="1">
      <alignment vertical="top" wrapText="1"/>
    </xf>
    <xf numFmtId="4" fontId="2" fillId="3" borderId="0" xfId="0" applyNumberFormat="1" applyFont="1" applyFill="1" applyAlignment="1">
      <alignment vertical="top"/>
    </xf>
    <xf numFmtId="0" fontId="0" fillId="3" borderId="0" xfId="0" applyFont="1" applyFill="1" applyBorder="1" applyAlignment="1">
      <alignment vertical="top"/>
    </xf>
    <xf numFmtId="0" fontId="2" fillId="3" borderId="0" xfId="0" applyFont="1" applyFill="1" applyAlignment="1">
      <alignment horizontal="righ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0" fillId="3" borderId="8" xfId="0" applyFill="1" applyBorder="1" applyAlignment="1">
      <alignment vertical="top"/>
    </xf>
    <xf numFmtId="0" fontId="2" fillId="2" borderId="3" xfId="0" applyFont="1" applyFill="1" applyBorder="1" applyAlignment="1">
      <alignment vertical="top"/>
    </xf>
    <xf numFmtId="0" fontId="6" fillId="3" borderId="0" xfId="0" applyFont="1" applyFill="1" applyBorder="1" applyAlignment="1">
      <alignment horizontal="left" vertical="top" wrapText="1"/>
    </xf>
    <xf numFmtId="0" fontId="6" fillId="3" borderId="0"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0" xfId="0" applyFont="1" applyFill="1" applyAlignment="1">
      <alignment horizontal="right" vertical="top" wrapText="1"/>
    </xf>
    <xf numFmtId="0" fontId="7" fillId="3" borderId="0" xfId="0" applyFont="1" applyFill="1" applyBorder="1" applyAlignment="1">
      <alignment horizontal="left" vertical="top" wrapText="1"/>
    </xf>
    <xf numFmtId="0" fontId="7" fillId="3" borderId="0" xfId="0" applyFont="1" applyFill="1" applyBorder="1" applyAlignment="1">
      <alignment vertical="top" wrapText="1"/>
    </xf>
    <xf numFmtId="0" fontId="7" fillId="3" borderId="0" xfId="0" applyFont="1" applyFill="1" applyBorder="1" applyAlignment="1">
      <alignment vertical="top"/>
    </xf>
    <xf numFmtId="38" fontId="7" fillId="2" borderId="0" xfId="0" applyNumberFormat="1" applyFont="1" applyFill="1" applyBorder="1" applyAlignment="1">
      <alignment vertical="top"/>
    </xf>
    <xf numFmtId="9" fontId="7" fillId="2" borderId="0" xfId="0" applyNumberFormat="1" applyFont="1" applyFill="1" applyBorder="1" applyAlignment="1">
      <alignment vertical="top"/>
    </xf>
    <xf numFmtId="0" fontId="1" fillId="3" borderId="0" xfId="0" applyFont="1"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46</xdr:row>
      <xdr:rowOff>66675</xdr:rowOff>
    </xdr:from>
    <xdr:to>
      <xdr:col>5</xdr:col>
      <xdr:colOff>152400</xdr:colOff>
      <xdr:row>55</xdr:row>
      <xdr:rowOff>123825</xdr:rowOff>
    </xdr:to>
    <xdr:sp>
      <xdr:nvSpPr>
        <xdr:cNvPr id="1" name="AutoShape 1"/>
        <xdr:cNvSpPr>
          <a:spLocks/>
        </xdr:cNvSpPr>
      </xdr:nvSpPr>
      <xdr:spPr>
        <a:xfrm>
          <a:off x="4505325" y="2095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1"/>
  <sheetViews>
    <sheetView tabSelected="1" workbookViewId="0" topLeftCell="A1">
      <selection activeCell="V252" sqref="V252"/>
    </sheetView>
  </sheetViews>
  <sheetFormatPr defaultColWidth="9.140625" defaultRowHeight="12.75" outlineLevelRow="1"/>
  <cols>
    <col min="1" max="1" width="67.57421875" style="54" customWidth="1"/>
    <col min="2" max="5" width="14.8515625" style="44" hidden="1" customWidth="1"/>
    <col min="6" max="6" width="40.00390625" style="53" hidden="1" customWidth="1"/>
    <col min="7" max="7" width="2.28125" style="54" hidden="1" customWidth="1"/>
    <col min="8" max="8" width="13.8515625" style="44" hidden="1" customWidth="1"/>
    <col min="9" max="11" width="12.421875" style="44" hidden="1" customWidth="1"/>
    <col min="12" max="12" width="2.7109375" style="44" hidden="1" customWidth="1"/>
    <col min="13" max="13" width="2.57421875" style="44" hidden="1" customWidth="1"/>
    <col min="14" max="19" width="16.00390625" style="44" hidden="1" customWidth="1"/>
    <col min="20" max="21" width="13.00390625" style="44" hidden="1" customWidth="1"/>
    <col min="22" max="22" width="14.7109375" style="44" bestFit="1" customWidth="1"/>
    <col min="23" max="23" width="14.28125" style="44" customWidth="1"/>
    <col min="24" max="24" width="13.421875" style="44" customWidth="1"/>
    <col min="25" max="25" width="17.421875" style="44" customWidth="1"/>
    <col min="26" max="26" width="15.8515625" style="44" hidden="1" customWidth="1"/>
    <col min="27" max="49" width="44.421875" style="44" hidden="1" customWidth="1"/>
    <col min="50" max="16384" width="44.421875" style="44" customWidth="1"/>
  </cols>
  <sheetData>
    <row r="1" ht="12.75">
      <c r="Y1" s="91" t="s">
        <v>295</v>
      </c>
    </row>
    <row r="2" spans="1:26" ht="20.25">
      <c r="A2" s="106" t="s">
        <v>306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6" customHeight="1">
      <c r="A3" s="52"/>
      <c r="B3" s="52"/>
      <c r="C3" s="52"/>
      <c r="D3" s="52"/>
      <c r="E3" s="52"/>
      <c r="F3" s="52"/>
      <c r="G3" s="52"/>
      <c r="H3" s="52"/>
      <c r="I3" s="52"/>
      <c r="J3" s="52"/>
      <c r="K3" s="52"/>
      <c r="L3" s="52"/>
      <c r="M3" s="52"/>
      <c r="N3" s="52"/>
      <c r="O3" s="52"/>
      <c r="P3" s="52"/>
      <c r="Q3" s="52"/>
      <c r="R3" s="52"/>
      <c r="S3" s="52"/>
      <c r="T3" s="52"/>
      <c r="U3" s="52"/>
      <c r="V3" s="52"/>
      <c r="W3" s="52"/>
      <c r="X3" s="52"/>
      <c r="Y3" s="52"/>
      <c r="Z3" s="52"/>
    </row>
    <row r="4" spans="1:26" s="99" customFormat="1" ht="13.5" customHeight="1">
      <c r="A4" s="97" t="s">
        <v>0</v>
      </c>
      <c r="B4" s="98" t="s">
        <v>1</v>
      </c>
      <c r="C4" s="97" t="s">
        <v>2</v>
      </c>
      <c r="D4" s="97" t="s">
        <v>3</v>
      </c>
      <c r="E4" s="97" t="s">
        <v>4</v>
      </c>
      <c r="F4" s="96" t="s">
        <v>5</v>
      </c>
      <c r="G4" s="97"/>
      <c r="H4" s="98" t="s">
        <v>6</v>
      </c>
      <c r="I4" s="98" t="s">
        <v>7</v>
      </c>
      <c r="J4" s="98" t="s">
        <v>8</v>
      </c>
      <c r="K4" s="98" t="s">
        <v>9</v>
      </c>
      <c r="N4" s="99" t="s">
        <v>10</v>
      </c>
      <c r="O4" s="99" t="s">
        <v>11</v>
      </c>
      <c r="P4" s="99" t="s">
        <v>12</v>
      </c>
      <c r="Q4" s="99" t="s">
        <v>13</v>
      </c>
      <c r="R4" s="99" t="s">
        <v>14</v>
      </c>
      <c r="S4" s="99" t="s">
        <v>15</v>
      </c>
      <c r="T4" s="99" t="s">
        <v>16</v>
      </c>
      <c r="U4" s="99" t="s">
        <v>14</v>
      </c>
      <c r="V4" s="99" t="s">
        <v>17</v>
      </c>
      <c r="W4" s="99" t="s">
        <v>18</v>
      </c>
      <c r="X4" s="99" t="s">
        <v>19</v>
      </c>
      <c r="Y4" s="99" t="s">
        <v>20</v>
      </c>
      <c r="Z4" s="100" t="s">
        <v>21</v>
      </c>
    </row>
    <row r="5" spans="1:26" s="99" customFormat="1" ht="13.5" customHeight="1">
      <c r="A5" s="97"/>
      <c r="B5" s="97"/>
      <c r="C5" s="97"/>
      <c r="D5" s="97"/>
      <c r="E5" s="97"/>
      <c r="F5" s="96"/>
      <c r="G5" s="97"/>
      <c r="H5" s="97"/>
      <c r="I5" s="97"/>
      <c r="J5" s="97"/>
      <c r="K5" s="97"/>
      <c r="V5" s="99" t="s">
        <v>22</v>
      </c>
      <c r="W5" s="99" t="s">
        <v>22</v>
      </c>
      <c r="X5" s="99" t="s">
        <v>22</v>
      </c>
      <c r="Y5" s="99" t="s">
        <v>22</v>
      </c>
      <c r="Z5" s="100"/>
    </row>
    <row r="6" spans="1:26" s="57" customFormat="1" ht="15">
      <c r="A6" s="101" t="s">
        <v>296</v>
      </c>
      <c r="B6" s="55"/>
      <c r="C6" s="55"/>
      <c r="D6" s="55"/>
      <c r="E6" s="55"/>
      <c r="F6" s="56"/>
      <c r="G6" s="55"/>
      <c r="H6" s="55"/>
      <c r="I6" s="55"/>
      <c r="J6" s="55"/>
      <c r="K6" s="55"/>
      <c r="S6" s="57" t="s">
        <v>22</v>
      </c>
      <c r="Z6" s="91" t="s">
        <v>22</v>
      </c>
    </row>
    <row r="7" spans="1:26" ht="22.5" customHeight="1" hidden="1" outlineLevel="1">
      <c r="A7" s="41" t="s">
        <v>23</v>
      </c>
      <c r="B7" s="42">
        <v>661</v>
      </c>
      <c r="C7" s="42">
        <v>0</v>
      </c>
      <c r="D7" s="42">
        <f>C7-B7</f>
        <v>-661</v>
      </c>
      <c r="E7" s="42">
        <v>661</v>
      </c>
      <c r="F7" s="43" t="s">
        <v>24</v>
      </c>
      <c r="G7" s="42"/>
      <c r="H7" s="42">
        <v>0</v>
      </c>
      <c r="I7" s="42">
        <v>0</v>
      </c>
      <c r="J7" s="42">
        <v>0</v>
      </c>
      <c r="K7" s="42">
        <v>0</v>
      </c>
      <c r="L7" s="40"/>
      <c r="M7" s="40"/>
      <c r="N7" s="44">
        <v>0</v>
      </c>
      <c r="O7" s="45">
        <v>661</v>
      </c>
      <c r="P7" s="46">
        <f>N7+O7</f>
        <v>661</v>
      </c>
      <c r="Q7" s="58">
        <v>294</v>
      </c>
      <c r="R7" s="46">
        <f>+Q7-P7</f>
        <v>-367</v>
      </c>
      <c r="S7" s="46">
        <v>294</v>
      </c>
      <c r="T7" s="59">
        <f>Q7/P7</f>
        <v>0.44478063540090773</v>
      </c>
      <c r="U7" s="46">
        <f>+S7-P7</f>
        <v>-367</v>
      </c>
      <c r="V7" s="48"/>
      <c r="W7" s="46"/>
      <c r="X7" s="46"/>
      <c r="Y7" s="46"/>
      <c r="Z7" s="46"/>
    </row>
    <row r="8" spans="1:26" ht="17.25" customHeight="1" hidden="1" outlineLevel="1">
      <c r="A8" s="41" t="s">
        <v>25</v>
      </c>
      <c r="B8" s="42"/>
      <c r="C8" s="42"/>
      <c r="D8" s="42"/>
      <c r="E8" s="42"/>
      <c r="F8" s="43"/>
      <c r="G8" s="42"/>
      <c r="H8" s="42"/>
      <c r="I8" s="42"/>
      <c r="J8" s="42"/>
      <c r="K8" s="42"/>
      <c r="L8" s="40"/>
      <c r="M8" s="40"/>
      <c r="O8" s="45">
        <v>0</v>
      </c>
      <c r="P8" s="46">
        <v>0</v>
      </c>
      <c r="Q8" s="58">
        <v>2165.23</v>
      </c>
      <c r="R8" s="46">
        <f aca="true" t="shared" si="0" ref="R8:R72">+Q8-P8</f>
        <v>2165.23</v>
      </c>
      <c r="S8" s="46">
        <v>0</v>
      </c>
      <c r="T8" s="59">
        <f>P8/Q8</f>
        <v>0</v>
      </c>
      <c r="U8" s="46">
        <f aca="true" t="shared" si="1" ref="U8:U77">+S8-P8</f>
        <v>0</v>
      </c>
      <c r="V8" s="48"/>
      <c r="W8" s="46"/>
      <c r="X8" s="46"/>
      <c r="Y8" s="46"/>
      <c r="Z8" s="46"/>
    </row>
    <row r="9" spans="1:26" ht="12.75" hidden="1" outlineLevel="1">
      <c r="A9" s="41" t="s">
        <v>26</v>
      </c>
      <c r="B9" s="42">
        <v>2855</v>
      </c>
      <c r="C9" s="42">
        <v>2855.38</v>
      </c>
      <c r="D9" s="42">
        <f>C9-B9</f>
        <v>0.38000000000010914</v>
      </c>
      <c r="E9" s="42">
        <v>-0.38000000000010914</v>
      </c>
      <c r="F9" s="43"/>
      <c r="G9" s="42"/>
      <c r="H9" s="42">
        <v>56057</v>
      </c>
      <c r="I9" s="42">
        <v>0</v>
      </c>
      <c r="J9" s="42">
        <v>0</v>
      </c>
      <c r="K9" s="42">
        <v>0</v>
      </c>
      <c r="L9" s="40"/>
      <c r="M9" s="40"/>
      <c r="N9" s="44">
        <v>0</v>
      </c>
      <c r="O9" s="45">
        <v>-0.38000000000010914</v>
      </c>
      <c r="P9" s="46">
        <f aca="true" t="shared" si="2" ref="P9:P22">N9+O9</f>
        <v>-0.38000000000010914</v>
      </c>
      <c r="Q9" s="58">
        <v>0</v>
      </c>
      <c r="R9" s="46">
        <f t="shared" si="0"/>
        <v>0.38000000000010914</v>
      </c>
      <c r="S9" s="46">
        <v>-0.38000000000010914</v>
      </c>
      <c r="T9" s="59">
        <f aca="true" t="shared" si="3" ref="T9:T78">Q9/P9</f>
        <v>0</v>
      </c>
      <c r="U9" s="46">
        <f t="shared" si="1"/>
        <v>0</v>
      </c>
      <c r="V9" s="48"/>
      <c r="W9" s="46"/>
      <c r="X9" s="46"/>
      <c r="Y9" s="46"/>
      <c r="Z9" s="46"/>
    </row>
    <row r="10" spans="1:26" ht="12.75" hidden="1" outlineLevel="1">
      <c r="A10" s="41" t="s">
        <v>27</v>
      </c>
      <c r="B10" s="42"/>
      <c r="C10" s="42"/>
      <c r="D10" s="42"/>
      <c r="E10" s="42">
        <v>0</v>
      </c>
      <c r="F10" s="43"/>
      <c r="G10" s="42"/>
      <c r="H10" s="42"/>
      <c r="I10" s="42"/>
      <c r="J10" s="42"/>
      <c r="K10" s="42"/>
      <c r="L10" s="40"/>
      <c r="M10" s="40"/>
      <c r="N10" s="44">
        <v>1662</v>
      </c>
      <c r="O10" s="45">
        <v>0</v>
      </c>
      <c r="P10" s="46">
        <f t="shared" si="2"/>
        <v>1662</v>
      </c>
      <c r="Q10" s="58">
        <v>84</v>
      </c>
      <c r="R10" s="46">
        <f t="shared" si="0"/>
        <v>-1578</v>
      </c>
      <c r="S10" s="46">
        <v>1662</v>
      </c>
      <c r="T10" s="59">
        <f t="shared" si="3"/>
        <v>0.05054151624548736</v>
      </c>
      <c r="U10" s="46">
        <f t="shared" si="1"/>
        <v>0</v>
      </c>
      <c r="V10" s="48"/>
      <c r="W10" s="46"/>
      <c r="X10" s="46"/>
      <c r="Y10" s="46"/>
      <c r="Z10" s="46"/>
    </row>
    <row r="11" spans="1:26" ht="17.25" customHeight="1" hidden="1" outlineLevel="1">
      <c r="A11" s="41" t="s">
        <v>28</v>
      </c>
      <c r="B11" s="42"/>
      <c r="C11" s="42"/>
      <c r="D11" s="42"/>
      <c r="E11" s="42">
        <v>0</v>
      </c>
      <c r="F11" s="43"/>
      <c r="G11" s="42"/>
      <c r="H11" s="42"/>
      <c r="I11" s="42"/>
      <c r="J11" s="42"/>
      <c r="K11" s="42"/>
      <c r="L11" s="40"/>
      <c r="M11" s="40"/>
      <c r="N11" s="44">
        <v>172271</v>
      </c>
      <c r="O11" s="45">
        <v>0</v>
      </c>
      <c r="P11" s="46">
        <f t="shared" si="2"/>
        <v>172271</v>
      </c>
      <c r="Q11" s="58">
        <v>0</v>
      </c>
      <c r="R11" s="46">
        <f t="shared" si="0"/>
        <v>-172271</v>
      </c>
      <c r="S11" s="46">
        <v>172271</v>
      </c>
      <c r="T11" s="59">
        <f t="shared" si="3"/>
        <v>0</v>
      </c>
      <c r="U11" s="46">
        <f t="shared" si="1"/>
        <v>0</v>
      </c>
      <c r="V11" s="48"/>
      <c r="W11" s="46"/>
      <c r="X11" s="46"/>
      <c r="Y11" s="46"/>
      <c r="Z11" s="46"/>
    </row>
    <row r="12" spans="1:26" ht="14.25" customHeight="1" hidden="1" outlineLevel="1">
      <c r="A12" s="41" t="s">
        <v>29</v>
      </c>
      <c r="B12" s="42">
        <v>6743</v>
      </c>
      <c r="C12" s="42">
        <v>750</v>
      </c>
      <c r="D12" s="42">
        <f>C12-B12</f>
        <v>-5993</v>
      </c>
      <c r="E12" s="42">
        <v>5993</v>
      </c>
      <c r="F12" s="43" t="s">
        <v>30</v>
      </c>
      <c r="G12" s="42"/>
      <c r="H12" s="42">
        <v>0</v>
      </c>
      <c r="I12" s="42">
        <v>0</v>
      </c>
      <c r="J12" s="42">
        <v>0</v>
      </c>
      <c r="K12" s="42">
        <v>0</v>
      </c>
      <c r="L12" s="40"/>
      <c r="M12" s="40"/>
      <c r="N12" s="44">
        <v>0</v>
      </c>
      <c r="O12" s="45">
        <v>5993</v>
      </c>
      <c r="P12" s="46">
        <f t="shared" si="2"/>
        <v>5993</v>
      </c>
      <c r="Q12" s="58">
        <v>114</v>
      </c>
      <c r="R12" s="46">
        <f t="shared" si="0"/>
        <v>-5879</v>
      </c>
      <c r="S12" s="46">
        <v>5993</v>
      </c>
      <c r="T12" s="59">
        <f t="shared" si="3"/>
        <v>0.019022192557984315</v>
      </c>
      <c r="U12" s="46">
        <f t="shared" si="1"/>
        <v>0</v>
      </c>
      <c r="V12" s="48"/>
      <c r="W12" s="46"/>
      <c r="X12" s="46"/>
      <c r="Y12" s="46"/>
      <c r="Z12" s="46"/>
    </row>
    <row r="13" spans="1:26" ht="12.75" hidden="1" outlineLevel="1">
      <c r="A13" s="41" t="s">
        <v>31</v>
      </c>
      <c r="B13" s="42">
        <v>10000</v>
      </c>
      <c r="C13" s="42">
        <v>10000</v>
      </c>
      <c r="D13" s="42">
        <f>C13-B13</f>
        <v>0</v>
      </c>
      <c r="E13" s="42">
        <v>0</v>
      </c>
      <c r="F13" s="43"/>
      <c r="G13" s="42"/>
      <c r="H13" s="42">
        <v>0</v>
      </c>
      <c r="I13" s="42">
        <v>0</v>
      </c>
      <c r="J13" s="42">
        <v>0</v>
      </c>
      <c r="K13" s="42">
        <v>0</v>
      </c>
      <c r="L13" s="40"/>
      <c r="M13" s="40"/>
      <c r="N13" s="44">
        <v>0</v>
      </c>
      <c r="O13" s="45">
        <v>0</v>
      </c>
      <c r="P13" s="46">
        <f t="shared" si="2"/>
        <v>0</v>
      </c>
      <c r="Q13" s="58">
        <v>0</v>
      </c>
      <c r="R13" s="46">
        <f t="shared" si="0"/>
        <v>0</v>
      </c>
      <c r="S13" s="46">
        <v>0</v>
      </c>
      <c r="T13" s="59">
        <v>0</v>
      </c>
      <c r="U13" s="46">
        <f t="shared" si="1"/>
        <v>0</v>
      </c>
      <c r="V13" s="48"/>
      <c r="W13" s="46"/>
      <c r="X13" s="46"/>
      <c r="Y13" s="46"/>
      <c r="Z13" s="46"/>
    </row>
    <row r="14" spans="1:26" ht="14.25" customHeight="1" hidden="1" outlineLevel="1">
      <c r="A14" s="41" t="s">
        <v>32</v>
      </c>
      <c r="B14" s="42"/>
      <c r="C14" s="42"/>
      <c r="D14" s="42"/>
      <c r="E14" s="42">
        <v>0</v>
      </c>
      <c r="F14" s="43"/>
      <c r="G14" s="42"/>
      <c r="H14" s="42"/>
      <c r="I14" s="42"/>
      <c r="J14" s="42"/>
      <c r="K14" s="42"/>
      <c r="L14" s="40"/>
      <c r="M14" s="40"/>
      <c r="N14" s="44">
        <v>17624</v>
      </c>
      <c r="O14" s="45">
        <v>0</v>
      </c>
      <c r="P14" s="46">
        <f t="shared" si="2"/>
        <v>17624</v>
      </c>
      <c r="Q14" s="58">
        <v>0</v>
      </c>
      <c r="R14" s="46">
        <f t="shared" si="0"/>
        <v>-17624</v>
      </c>
      <c r="S14" s="46">
        <v>17624</v>
      </c>
      <c r="T14" s="59">
        <f t="shared" si="3"/>
        <v>0</v>
      </c>
      <c r="U14" s="46">
        <f t="shared" si="1"/>
        <v>0</v>
      </c>
      <c r="V14" s="48"/>
      <c r="W14" s="46"/>
      <c r="X14" s="46"/>
      <c r="Y14" s="46"/>
      <c r="Z14" s="46"/>
    </row>
    <row r="15" spans="1:26" ht="14.25" customHeight="1" hidden="1" outlineLevel="1">
      <c r="A15" s="41" t="s">
        <v>33</v>
      </c>
      <c r="B15" s="42"/>
      <c r="C15" s="42"/>
      <c r="D15" s="42"/>
      <c r="E15" s="42">
        <v>0</v>
      </c>
      <c r="F15" s="43"/>
      <c r="G15" s="42"/>
      <c r="H15" s="42"/>
      <c r="I15" s="42"/>
      <c r="J15" s="42"/>
      <c r="K15" s="42"/>
      <c r="L15" s="40"/>
      <c r="M15" s="40"/>
      <c r="N15" s="44">
        <v>17850</v>
      </c>
      <c r="O15" s="45">
        <v>0</v>
      </c>
      <c r="P15" s="46">
        <f t="shared" si="2"/>
        <v>17850</v>
      </c>
      <c r="Q15" s="58">
        <v>133</v>
      </c>
      <c r="R15" s="46">
        <f t="shared" si="0"/>
        <v>-17717</v>
      </c>
      <c r="S15" s="46">
        <v>17850</v>
      </c>
      <c r="T15" s="59">
        <f t="shared" si="3"/>
        <v>0.007450980392156863</v>
      </c>
      <c r="U15" s="46">
        <f t="shared" si="1"/>
        <v>0</v>
      </c>
      <c r="V15" s="48"/>
      <c r="W15" s="46"/>
      <c r="X15" s="46"/>
      <c r="Y15" s="46"/>
      <c r="Z15" s="46"/>
    </row>
    <row r="16" spans="1:26" ht="14.25" customHeight="1" hidden="1" outlineLevel="1">
      <c r="A16" s="41" t="s">
        <v>34</v>
      </c>
      <c r="B16" s="42"/>
      <c r="C16" s="42"/>
      <c r="D16" s="42"/>
      <c r="E16" s="42"/>
      <c r="F16" s="43"/>
      <c r="G16" s="42"/>
      <c r="H16" s="42"/>
      <c r="I16" s="42"/>
      <c r="J16" s="42"/>
      <c r="K16" s="42"/>
      <c r="L16" s="40"/>
      <c r="M16" s="40"/>
      <c r="O16" s="45"/>
      <c r="P16" s="46"/>
      <c r="Q16" s="58"/>
      <c r="R16" s="46"/>
      <c r="S16" s="46">
        <v>12500</v>
      </c>
      <c r="T16" s="59"/>
      <c r="U16" s="46"/>
      <c r="V16" s="48"/>
      <c r="W16" s="46"/>
      <c r="X16" s="46"/>
      <c r="Y16" s="46"/>
      <c r="Z16" s="46"/>
    </row>
    <row r="17" spans="1:26" ht="14.25" customHeight="1" hidden="1" outlineLevel="1">
      <c r="A17" s="41" t="s">
        <v>34</v>
      </c>
      <c r="B17" s="42"/>
      <c r="C17" s="42"/>
      <c r="D17" s="42"/>
      <c r="E17" s="42"/>
      <c r="F17" s="43"/>
      <c r="G17" s="42"/>
      <c r="H17" s="42"/>
      <c r="I17" s="42"/>
      <c r="J17" s="42"/>
      <c r="K17" s="42"/>
      <c r="L17" s="40"/>
      <c r="M17" s="40"/>
      <c r="O17" s="45"/>
      <c r="P17" s="46"/>
      <c r="Q17" s="58"/>
      <c r="R17" s="46"/>
      <c r="S17" s="46">
        <v>3229</v>
      </c>
      <c r="T17" s="59"/>
      <c r="U17" s="46"/>
      <c r="V17" s="48"/>
      <c r="W17" s="46"/>
      <c r="X17" s="46"/>
      <c r="Y17" s="46"/>
      <c r="Z17" s="46"/>
    </row>
    <row r="18" spans="1:26" ht="14.25" customHeight="1" hidden="1" outlineLevel="1">
      <c r="A18" s="41" t="s">
        <v>35</v>
      </c>
      <c r="B18" s="42"/>
      <c r="C18" s="42"/>
      <c r="D18" s="42"/>
      <c r="E18" s="42"/>
      <c r="F18" s="43"/>
      <c r="G18" s="42"/>
      <c r="H18" s="42"/>
      <c r="I18" s="42"/>
      <c r="J18" s="42"/>
      <c r="K18" s="42"/>
      <c r="L18" s="40"/>
      <c r="M18" s="40"/>
      <c r="O18" s="45"/>
      <c r="P18" s="46"/>
      <c r="Q18" s="58"/>
      <c r="R18" s="46"/>
      <c r="S18" s="46">
        <v>60000</v>
      </c>
      <c r="T18" s="59"/>
      <c r="U18" s="46"/>
      <c r="V18" s="48"/>
      <c r="W18" s="46"/>
      <c r="X18" s="46"/>
      <c r="Y18" s="46"/>
      <c r="Z18" s="46"/>
    </row>
    <row r="19" spans="1:26" ht="17.25" customHeight="1" hidden="1" outlineLevel="1">
      <c r="A19" s="41" t="s">
        <v>36</v>
      </c>
      <c r="B19" s="42">
        <v>8035</v>
      </c>
      <c r="C19" s="42">
        <v>7175.76</v>
      </c>
      <c r="D19" s="42">
        <f>C19-B19</f>
        <v>-859.2399999999998</v>
      </c>
      <c r="E19" s="42">
        <v>859</v>
      </c>
      <c r="F19" s="43" t="s">
        <v>37</v>
      </c>
      <c r="G19" s="42"/>
      <c r="H19" s="42">
        <v>0</v>
      </c>
      <c r="I19" s="42">
        <v>0</v>
      </c>
      <c r="J19" s="42">
        <v>0</v>
      </c>
      <c r="K19" s="42">
        <v>0</v>
      </c>
      <c r="L19" s="40"/>
      <c r="M19" s="40"/>
      <c r="N19" s="44">
        <v>0</v>
      </c>
      <c r="O19" s="45">
        <v>859</v>
      </c>
      <c r="P19" s="46">
        <f t="shared" si="2"/>
        <v>859</v>
      </c>
      <c r="Q19" s="58">
        <v>-620</v>
      </c>
      <c r="R19" s="46">
        <f t="shared" si="0"/>
        <v>-1479</v>
      </c>
      <c r="S19" s="46">
        <v>859</v>
      </c>
      <c r="T19" s="59">
        <f t="shared" si="3"/>
        <v>-0.7217694994179278</v>
      </c>
      <c r="U19" s="46">
        <f t="shared" si="1"/>
        <v>0</v>
      </c>
      <c r="V19" s="48"/>
      <c r="W19" s="46"/>
      <c r="X19" s="46"/>
      <c r="Y19" s="46"/>
      <c r="Z19" s="46"/>
    </row>
    <row r="20" spans="1:26" ht="14.25" customHeight="1" hidden="1" outlineLevel="1">
      <c r="A20" s="41" t="s">
        <v>38</v>
      </c>
      <c r="B20" s="42">
        <v>252203</v>
      </c>
      <c r="C20" s="42">
        <v>125111.55</v>
      </c>
      <c r="D20" s="42">
        <f>C20-B20</f>
        <v>-127091.45</v>
      </c>
      <c r="E20" s="42">
        <v>127091</v>
      </c>
      <c r="F20" s="43" t="s">
        <v>39</v>
      </c>
      <c r="G20" s="42"/>
      <c r="H20" s="42">
        <v>770000</v>
      </c>
      <c r="I20" s="42">
        <v>0</v>
      </c>
      <c r="J20" s="42">
        <v>0</v>
      </c>
      <c r="K20" s="42">
        <v>0</v>
      </c>
      <c r="L20" s="40"/>
      <c r="M20" s="40"/>
      <c r="N20" s="44">
        <v>35000</v>
      </c>
      <c r="O20" s="45">
        <v>127091</v>
      </c>
      <c r="P20" s="46">
        <f t="shared" si="2"/>
        <v>162091</v>
      </c>
      <c r="Q20" s="58">
        <v>10875</v>
      </c>
      <c r="R20" s="46">
        <f t="shared" si="0"/>
        <v>-151216</v>
      </c>
      <c r="S20" s="46">
        <v>162091</v>
      </c>
      <c r="T20" s="59">
        <f t="shared" si="3"/>
        <v>0.06709194218062693</v>
      </c>
      <c r="U20" s="46">
        <f t="shared" si="1"/>
        <v>0</v>
      </c>
      <c r="V20" s="48"/>
      <c r="W20" s="46"/>
      <c r="X20" s="46"/>
      <c r="Y20" s="46"/>
      <c r="Z20" s="46"/>
    </row>
    <row r="21" spans="1:26" ht="15.75" customHeight="1" hidden="1" outlineLevel="1">
      <c r="A21" s="41" t="s">
        <v>40</v>
      </c>
      <c r="B21" s="42">
        <v>184671</v>
      </c>
      <c r="C21" s="42">
        <v>0</v>
      </c>
      <c r="D21" s="42">
        <f>C21-B21</f>
        <v>-184671</v>
      </c>
      <c r="E21" s="42">
        <v>184671</v>
      </c>
      <c r="F21" s="43" t="s">
        <v>41</v>
      </c>
      <c r="G21" s="42"/>
      <c r="H21" s="42">
        <v>0</v>
      </c>
      <c r="I21" s="42">
        <v>0</v>
      </c>
      <c r="J21" s="42">
        <v>0</v>
      </c>
      <c r="K21" s="42">
        <v>0</v>
      </c>
      <c r="L21" s="40"/>
      <c r="M21" s="40"/>
      <c r="N21" s="44">
        <v>0</v>
      </c>
      <c r="O21" s="45">
        <v>184671</v>
      </c>
      <c r="P21" s="46">
        <f t="shared" si="2"/>
        <v>184671</v>
      </c>
      <c r="Q21" s="58">
        <v>35500</v>
      </c>
      <c r="R21" s="46">
        <f t="shared" si="0"/>
        <v>-149171</v>
      </c>
      <c r="S21" s="46">
        <v>184671</v>
      </c>
      <c r="T21" s="59">
        <f t="shared" si="3"/>
        <v>0.1922337562475971</v>
      </c>
      <c r="U21" s="46">
        <f t="shared" si="1"/>
        <v>0</v>
      </c>
      <c r="V21" s="48"/>
      <c r="W21" s="46"/>
      <c r="X21" s="46"/>
      <c r="Y21" s="46"/>
      <c r="Z21" s="46"/>
    </row>
    <row r="22" spans="1:26" ht="14.25" customHeight="1" hidden="1" outlineLevel="1" thickBot="1">
      <c r="A22" s="41" t="s">
        <v>42</v>
      </c>
      <c r="B22" s="42"/>
      <c r="C22" s="42"/>
      <c r="D22" s="42"/>
      <c r="E22" s="42">
        <v>0</v>
      </c>
      <c r="F22" s="43"/>
      <c r="G22" s="42"/>
      <c r="H22" s="42"/>
      <c r="I22" s="42"/>
      <c r="J22" s="42"/>
      <c r="K22" s="42"/>
      <c r="L22" s="40"/>
      <c r="M22" s="40"/>
      <c r="N22" s="44">
        <v>500000</v>
      </c>
      <c r="O22" s="45">
        <v>0</v>
      </c>
      <c r="P22" s="46">
        <f t="shared" si="2"/>
        <v>500000</v>
      </c>
      <c r="Q22" s="58">
        <v>0</v>
      </c>
      <c r="R22" s="46">
        <f t="shared" si="0"/>
        <v>-500000</v>
      </c>
      <c r="S22" s="46">
        <v>0</v>
      </c>
      <c r="T22" s="60">
        <f t="shared" si="3"/>
        <v>0</v>
      </c>
      <c r="U22" s="46">
        <f t="shared" si="1"/>
        <v>-500000</v>
      </c>
      <c r="V22" s="46"/>
      <c r="W22" s="46"/>
      <c r="X22" s="46"/>
      <c r="Y22" s="46"/>
      <c r="Z22" s="46"/>
    </row>
    <row r="23" spans="1:26" s="66" customFormat="1" ht="13.5" hidden="1" thickBot="1">
      <c r="A23" s="92" t="s">
        <v>43</v>
      </c>
      <c r="B23" s="61">
        <f>SUM(B7:B22)</f>
        <v>465168</v>
      </c>
      <c r="C23" s="61">
        <f>SUM(C7:C22)</f>
        <v>145892.69</v>
      </c>
      <c r="D23" s="61">
        <f>SUM(D7:D22)</f>
        <v>-319275.31</v>
      </c>
      <c r="E23" s="61">
        <f>SUM(E7:E22)</f>
        <v>319274.62</v>
      </c>
      <c r="F23" s="62"/>
      <c r="G23" s="30"/>
      <c r="H23" s="61">
        <f>SUM(H7:H22)</f>
        <v>826057</v>
      </c>
      <c r="I23" s="61">
        <f>SUM(I7:I22)</f>
        <v>0</v>
      </c>
      <c r="J23" s="61">
        <f>SUM(J7:J22)</f>
        <v>0</v>
      </c>
      <c r="K23" s="61">
        <f>SUM(K7:K22)</f>
        <v>0</v>
      </c>
      <c r="L23" s="40"/>
      <c r="M23" s="40"/>
      <c r="N23" s="61">
        <f>SUM(N7:N22)</f>
        <v>744407</v>
      </c>
      <c r="O23" s="63">
        <f>SUM(O7:O22)</f>
        <v>319274.62</v>
      </c>
      <c r="P23" s="63">
        <f>P7+P9+P10+P11+P12+P13+P14+P15+P19+P20+P21+P22</f>
        <v>1063681.62</v>
      </c>
      <c r="Q23" s="63">
        <f>Q7+Q8+Q9+Q10+Q11+Q12+Q13+Q14+Q15+Q19+Q20+Q21+Q22</f>
        <v>48545.229999999996</v>
      </c>
      <c r="R23" s="63">
        <f>R7+R8+R9+R10+R11+R12+R13+R14+R15+R19+R20+R21+R22</f>
        <v>-1015136.39</v>
      </c>
      <c r="S23" s="63">
        <f>S7+S8+S9+S10+S11+S12+S13+S14+S15+S19+S20+S21+S22+S16+S17+S18</f>
        <v>639043.62</v>
      </c>
      <c r="T23" s="64">
        <f t="shared" si="3"/>
        <v>0.04563887265439445</v>
      </c>
      <c r="U23" s="65">
        <f t="shared" si="1"/>
        <v>-424638.0000000001</v>
      </c>
      <c r="V23" s="63">
        <f>V7+V8+V9+V10+V11+V12+V13+V14+V15+V19+V20+V21+V22+V16+V17+V18</f>
        <v>0</v>
      </c>
      <c r="W23" s="63">
        <f>W7+W8+W9+W10+W11+W12+W13+W14+W15+W19+W20+W21+W22+W16+W17+W18</f>
        <v>0</v>
      </c>
      <c r="X23" s="63">
        <f>X7+X8+X9+X10+X11+X12+X13+X14+X15+X19+X20+X21+X22+X16+X17+X18</f>
        <v>0</v>
      </c>
      <c r="Y23" s="63">
        <f>Y7+Y8+Y9+Y10+Y11+Y12+Y13+Y14+Y15+Y19+Y20+Y21+Y22+Y16+Y17+Y18</f>
        <v>0</v>
      </c>
      <c r="Z23" s="63">
        <f>Z7+Z8+Z9+Z10+Z11+Z12+Z13+Z14+Z15+Z19+Z20+Z21+Z22+Z16+Z17+Z18</f>
        <v>0</v>
      </c>
    </row>
    <row r="24" spans="1:26" s="66" customFormat="1" ht="12.75">
      <c r="A24" s="38"/>
      <c r="B24" s="30"/>
      <c r="C24" s="30"/>
      <c r="D24" s="30"/>
      <c r="E24" s="30"/>
      <c r="F24" s="31"/>
      <c r="G24" s="30"/>
      <c r="H24" s="30"/>
      <c r="I24" s="30"/>
      <c r="J24" s="30"/>
      <c r="K24" s="30"/>
      <c r="L24" s="40"/>
      <c r="M24" s="40"/>
      <c r="N24" s="30"/>
      <c r="O24" s="33"/>
      <c r="P24" s="33"/>
      <c r="Q24" s="33"/>
      <c r="R24" s="33"/>
      <c r="S24" s="33"/>
      <c r="T24" s="78"/>
      <c r="U24" s="33"/>
      <c r="V24" s="33"/>
      <c r="W24" s="33"/>
      <c r="X24" s="33"/>
      <c r="Y24" s="33"/>
      <c r="Z24" s="33"/>
    </row>
    <row r="25" spans="1:26" ht="12.75" outlineLevel="1">
      <c r="A25" s="41" t="s">
        <v>44</v>
      </c>
      <c r="B25" s="42">
        <v>30000</v>
      </c>
      <c r="C25" s="42">
        <v>-4448.91</v>
      </c>
      <c r="D25" s="42">
        <f>C25-B25</f>
        <v>-34448.91</v>
      </c>
      <c r="E25" s="42">
        <v>34449</v>
      </c>
      <c r="F25" s="43" t="s">
        <v>45</v>
      </c>
      <c r="G25" s="42"/>
      <c r="H25" s="42">
        <f>93379-43379</f>
        <v>50000</v>
      </c>
      <c r="I25" s="42">
        <v>50000</v>
      </c>
      <c r="J25" s="42">
        <v>50000</v>
      </c>
      <c r="K25" s="42">
        <v>50000</v>
      </c>
      <c r="L25" s="40"/>
      <c r="M25" s="40"/>
      <c r="N25" s="44">
        <v>50000</v>
      </c>
      <c r="O25" s="45">
        <v>34449</v>
      </c>
      <c r="P25" s="46">
        <f>N25+O25</f>
        <v>84449</v>
      </c>
      <c r="Q25" s="47">
        <v>-3400.83</v>
      </c>
      <c r="R25" s="46">
        <f t="shared" si="0"/>
        <v>-87849.83</v>
      </c>
      <c r="S25" s="48">
        <v>84449</v>
      </c>
      <c r="T25" s="59">
        <f t="shared" si="3"/>
        <v>-0.04027081433764757</v>
      </c>
      <c r="U25" s="46">
        <f t="shared" si="1"/>
        <v>0</v>
      </c>
      <c r="V25" s="46">
        <v>50000</v>
      </c>
      <c r="W25" s="46">
        <v>50000</v>
      </c>
      <c r="X25" s="46">
        <v>50000</v>
      </c>
      <c r="Y25" s="46"/>
      <c r="Z25" s="46"/>
    </row>
    <row r="26" spans="1:26" ht="13.5" customHeight="1" outlineLevel="1" thickBot="1">
      <c r="A26" s="41" t="s">
        <v>46</v>
      </c>
      <c r="B26" s="42">
        <v>695000</v>
      </c>
      <c r="C26" s="42">
        <v>646530.15</v>
      </c>
      <c r="D26" s="42">
        <f>C26-B26</f>
        <v>-48469.84999999998</v>
      </c>
      <c r="E26" s="42">
        <v>0</v>
      </c>
      <c r="F26" s="43" t="s">
        <v>47</v>
      </c>
      <c r="G26" s="42"/>
      <c r="H26" s="42">
        <f>723192-28192</f>
        <v>695000</v>
      </c>
      <c r="I26" s="42">
        <v>640000</v>
      </c>
      <c r="J26" s="42">
        <v>640000</v>
      </c>
      <c r="K26" s="42">
        <v>640000</v>
      </c>
      <c r="L26" s="40"/>
      <c r="M26" s="40"/>
      <c r="N26" s="44">
        <v>640000</v>
      </c>
      <c r="O26" s="45">
        <v>0</v>
      </c>
      <c r="P26" s="46">
        <f>N26+O26</f>
        <v>640000</v>
      </c>
      <c r="Q26" s="47">
        <v>92806.72</v>
      </c>
      <c r="R26" s="46">
        <f t="shared" si="0"/>
        <v>-547193.28</v>
      </c>
      <c r="S26" s="48">
        <v>695000</v>
      </c>
      <c r="T26" s="60">
        <f t="shared" si="3"/>
        <v>0.14501050000000001</v>
      </c>
      <c r="U26" s="46">
        <f t="shared" si="1"/>
        <v>55000</v>
      </c>
      <c r="V26" s="46">
        <v>640000</v>
      </c>
      <c r="W26" s="46">
        <v>640000</v>
      </c>
      <c r="X26" s="46">
        <v>640000</v>
      </c>
      <c r="Y26" s="46">
        <v>640000</v>
      </c>
      <c r="Z26" s="46">
        <v>640000</v>
      </c>
    </row>
    <row r="27" spans="1:30" s="66" customFormat="1" ht="13.5" thickBot="1">
      <c r="A27" s="93" t="s">
        <v>48</v>
      </c>
      <c r="B27" s="1">
        <f>SUM(B25:B26)</f>
        <v>725000</v>
      </c>
      <c r="C27" s="1">
        <f>SUM(C25:C26)</f>
        <v>642081.24</v>
      </c>
      <c r="D27" s="1">
        <f>SUM(D25:D26)</f>
        <v>-82918.75999999998</v>
      </c>
      <c r="E27" s="1">
        <f>SUM(E25:E26)</f>
        <v>34449</v>
      </c>
      <c r="F27" s="2"/>
      <c r="G27" s="3"/>
      <c r="H27" s="1">
        <f>SUM(H25:H26)</f>
        <v>745000</v>
      </c>
      <c r="I27" s="1">
        <f>SUM(I25:I26)</f>
        <v>690000</v>
      </c>
      <c r="J27" s="1">
        <f>SUM(J25:J26)</f>
        <v>690000</v>
      </c>
      <c r="K27" s="1">
        <f>SUM(K25:K26)</f>
        <v>690000</v>
      </c>
      <c r="L27" s="4"/>
      <c r="M27" s="4"/>
      <c r="N27" s="1">
        <f aca="true" t="shared" si="4" ref="N27:X27">SUM(N25:N26)</f>
        <v>690000</v>
      </c>
      <c r="O27" s="5">
        <f t="shared" si="4"/>
        <v>34449</v>
      </c>
      <c r="P27" s="5">
        <f>P25+P26</f>
        <v>724449</v>
      </c>
      <c r="Q27" s="5">
        <f>Q25+Q26</f>
        <v>89405.89</v>
      </c>
      <c r="R27" s="5">
        <f>R25+R26</f>
        <v>-635043.11</v>
      </c>
      <c r="S27" s="5">
        <f>S25+S26</f>
        <v>779449</v>
      </c>
      <c r="T27" s="8">
        <f t="shared" si="3"/>
        <v>0.12341226228485373</v>
      </c>
      <c r="U27" s="7">
        <f t="shared" si="1"/>
        <v>55000</v>
      </c>
      <c r="V27" s="5">
        <f t="shared" si="4"/>
        <v>690000</v>
      </c>
      <c r="W27" s="5">
        <f t="shared" si="4"/>
        <v>690000</v>
      </c>
      <c r="X27" s="5">
        <f t="shared" si="4"/>
        <v>690000</v>
      </c>
      <c r="Y27" s="5">
        <f>SUM(Y25:Y26)</f>
        <v>640000</v>
      </c>
      <c r="Z27" s="5">
        <f>SUM(Z25:Z26)</f>
        <v>640000</v>
      </c>
      <c r="AA27" s="66">
        <v>690000</v>
      </c>
      <c r="AB27" s="66">
        <v>690000</v>
      </c>
      <c r="AC27" s="66">
        <v>690000</v>
      </c>
      <c r="AD27" s="66">
        <v>640000</v>
      </c>
    </row>
    <row r="28" spans="1:26" ht="18" customHeight="1" hidden="1" outlineLevel="1">
      <c r="A28" s="41" t="s">
        <v>49</v>
      </c>
      <c r="B28" s="42">
        <v>16152</v>
      </c>
      <c r="C28" s="42">
        <v>15998.15</v>
      </c>
      <c r="D28" s="42">
        <f aca="true" t="shared" si="5" ref="D28:D43">C28-B28</f>
        <v>-153.85000000000036</v>
      </c>
      <c r="E28" s="42">
        <v>0</v>
      </c>
      <c r="F28" s="43" t="s">
        <v>50</v>
      </c>
      <c r="G28" s="42"/>
      <c r="H28" s="42">
        <v>0</v>
      </c>
      <c r="I28" s="42">
        <v>0</v>
      </c>
      <c r="J28" s="42">
        <v>0</v>
      </c>
      <c r="K28" s="42">
        <v>0</v>
      </c>
      <c r="L28" s="40"/>
      <c r="M28" s="40"/>
      <c r="N28" s="44">
        <v>63446</v>
      </c>
      <c r="O28" s="45">
        <v>0</v>
      </c>
      <c r="P28" s="46">
        <f>N28+O28</f>
        <v>63446</v>
      </c>
      <c r="Q28" s="58">
        <v>0</v>
      </c>
      <c r="R28" s="46">
        <f t="shared" si="0"/>
        <v>-63446</v>
      </c>
      <c r="S28" s="46">
        <v>63446</v>
      </c>
      <c r="T28" s="59">
        <f t="shared" si="3"/>
        <v>0</v>
      </c>
      <c r="U28" s="46">
        <f t="shared" si="1"/>
        <v>0</v>
      </c>
      <c r="V28" s="48"/>
      <c r="W28" s="46"/>
      <c r="X28" s="46"/>
      <c r="Y28" s="46"/>
      <c r="Z28" s="46"/>
    </row>
    <row r="29" spans="1:26" ht="18" customHeight="1" hidden="1" outlineLevel="1">
      <c r="A29" s="41" t="s">
        <v>51</v>
      </c>
      <c r="B29" s="42">
        <v>16152</v>
      </c>
      <c r="C29" s="42">
        <v>15998.15</v>
      </c>
      <c r="D29" s="42">
        <f>C29-B29</f>
        <v>-153.85000000000036</v>
      </c>
      <c r="E29" s="42">
        <v>154</v>
      </c>
      <c r="F29" s="43" t="s">
        <v>50</v>
      </c>
      <c r="G29" s="42"/>
      <c r="H29" s="42">
        <v>0</v>
      </c>
      <c r="I29" s="42">
        <v>0</v>
      </c>
      <c r="J29" s="42">
        <v>0</v>
      </c>
      <c r="K29" s="42">
        <v>0</v>
      </c>
      <c r="L29" s="40"/>
      <c r="M29" s="40"/>
      <c r="N29" s="44">
        <v>0</v>
      </c>
      <c r="O29" s="45">
        <v>154</v>
      </c>
      <c r="P29" s="46">
        <f aca="true" t="shared" si="6" ref="P29:P45">N29+O29</f>
        <v>154</v>
      </c>
      <c r="Q29" s="58">
        <v>0</v>
      </c>
      <c r="R29" s="46">
        <f t="shared" si="0"/>
        <v>-154</v>
      </c>
      <c r="S29" s="46">
        <v>154</v>
      </c>
      <c r="T29" s="59">
        <f t="shared" si="3"/>
        <v>0</v>
      </c>
      <c r="U29" s="46">
        <f t="shared" si="1"/>
        <v>0</v>
      </c>
      <c r="V29" s="48"/>
      <c r="W29" s="46"/>
      <c r="X29" s="46"/>
      <c r="Y29" s="46"/>
      <c r="Z29" s="46"/>
    </row>
    <row r="30" spans="1:26" ht="17.25" customHeight="1" hidden="1" outlineLevel="1">
      <c r="A30" s="41" t="s">
        <v>52</v>
      </c>
      <c r="B30" s="42">
        <v>50001</v>
      </c>
      <c r="C30" s="42">
        <v>38279.82</v>
      </c>
      <c r="D30" s="42">
        <f t="shared" si="5"/>
        <v>-11721.18</v>
      </c>
      <c r="E30" s="42">
        <v>11721</v>
      </c>
      <c r="F30" s="43" t="s">
        <v>53</v>
      </c>
      <c r="G30" s="42"/>
      <c r="H30" s="42">
        <v>0</v>
      </c>
      <c r="I30" s="42">
        <v>0</v>
      </c>
      <c r="J30" s="42">
        <v>0</v>
      </c>
      <c r="K30" s="42">
        <v>0</v>
      </c>
      <c r="L30" s="40"/>
      <c r="M30" s="40"/>
      <c r="N30" s="44">
        <v>0</v>
      </c>
      <c r="O30" s="45">
        <v>11721</v>
      </c>
      <c r="P30" s="46">
        <f t="shared" si="6"/>
        <v>11721</v>
      </c>
      <c r="Q30" s="58">
        <v>4223.99</v>
      </c>
      <c r="R30" s="46">
        <f t="shared" si="0"/>
        <v>-7497.01</v>
      </c>
      <c r="S30" s="46">
        <v>11721</v>
      </c>
      <c r="T30" s="59">
        <f t="shared" si="3"/>
        <v>0.36037795409947954</v>
      </c>
      <c r="U30" s="46">
        <f t="shared" si="1"/>
        <v>0</v>
      </c>
      <c r="V30" s="48"/>
      <c r="W30" s="46"/>
      <c r="X30" s="46"/>
      <c r="Y30" s="46"/>
      <c r="Z30" s="46"/>
    </row>
    <row r="31" spans="1:26" ht="12.75" hidden="1" outlineLevel="1">
      <c r="A31" s="41" t="s">
        <v>54</v>
      </c>
      <c r="B31" s="42">
        <v>0</v>
      </c>
      <c r="C31" s="42">
        <v>0</v>
      </c>
      <c r="D31" s="42">
        <f t="shared" si="5"/>
        <v>0</v>
      </c>
      <c r="E31" s="42">
        <v>0</v>
      </c>
      <c r="F31" s="43"/>
      <c r="G31" s="42"/>
      <c r="H31" s="42">
        <v>48225</v>
      </c>
      <c r="I31" s="42">
        <v>0</v>
      </c>
      <c r="J31" s="42">
        <v>0</v>
      </c>
      <c r="K31" s="42">
        <v>0</v>
      </c>
      <c r="L31" s="40"/>
      <c r="M31" s="40"/>
      <c r="N31" s="44">
        <v>48225</v>
      </c>
      <c r="O31" s="45">
        <v>0</v>
      </c>
      <c r="P31" s="46">
        <f t="shared" si="6"/>
        <v>48225</v>
      </c>
      <c r="Q31" s="58">
        <v>0</v>
      </c>
      <c r="R31" s="46">
        <f t="shared" si="0"/>
        <v>-48225</v>
      </c>
      <c r="S31" s="46">
        <v>48225</v>
      </c>
      <c r="T31" s="59">
        <f t="shared" si="3"/>
        <v>0</v>
      </c>
      <c r="U31" s="46">
        <f t="shared" si="1"/>
        <v>0</v>
      </c>
      <c r="V31" s="48"/>
      <c r="W31" s="46"/>
      <c r="X31" s="46"/>
      <c r="Y31" s="46"/>
      <c r="Z31" s="46"/>
    </row>
    <row r="32" spans="1:26" ht="12.75" hidden="1" outlineLevel="1">
      <c r="A32" s="41" t="s">
        <v>55</v>
      </c>
      <c r="B32" s="42">
        <v>50000</v>
      </c>
      <c r="C32" s="42">
        <v>50000</v>
      </c>
      <c r="D32" s="42">
        <f t="shared" si="5"/>
        <v>0</v>
      </c>
      <c r="E32" s="42">
        <v>0</v>
      </c>
      <c r="F32" s="43"/>
      <c r="G32" s="42"/>
      <c r="H32" s="42">
        <v>0</v>
      </c>
      <c r="I32" s="42">
        <v>0</v>
      </c>
      <c r="J32" s="42">
        <v>0</v>
      </c>
      <c r="K32" s="42">
        <v>0</v>
      </c>
      <c r="L32" s="40"/>
      <c r="M32" s="40"/>
      <c r="N32" s="44">
        <v>0</v>
      </c>
      <c r="O32" s="45">
        <v>0</v>
      </c>
      <c r="P32" s="46">
        <f t="shared" si="6"/>
        <v>0</v>
      </c>
      <c r="Q32" s="58">
        <v>0</v>
      </c>
      <c r="R32" s="46">
        <f t="shared" si="0"/>
        <v>0</v>
      </c>
      <c r="S32" s="46">
        <v>0</v>
      </c>
      <c r="T32" s="59">
        <v>0</v>
      </c>
      <c r="U32" s="46">
        <f t="shared" si="1"/>
        <v>0</v>
      </c>
      <c r="W32" s="46"/>
      <c r="X32" s="46"/>
      <c r="Y32" s="46"/>
      <c r="Z32" s="46"/>
    </row>
    <row r="33" spans="1:26" ht="15.75" customHeight="1" hidden="1" outlineLevel="1">
      <c r="A33" s="41" t="s">
        <v>56</v>
      </c>
      <c r="B33" s="42">
        <v>18500</v>
      </c>
      <c r="C33" s="42">
        <v>13693</v>
      </c>
      <c r="D33" s="42">
        <f t="shared" si="5"/>
        <v>-4807</v>
      </c>
      <c r="E33" s="42">
        <v>4807</v>
      </c>
      <c r="F33" s="43" t="s">
        <v>57</v>
      </c>
      <c r="G33" s="42"/>
      <c r="H33" s="42">
        <v>0</v>
      </c>
      <c r="I33" s="42">
        <v>0</v>
      </c>
      <c r="J33" s="42">
        <v>0</v>
      </c>
      <c r="K33" s="42">
        <v>0</v>
      </c>
      <c r="L33" s="40"/>
      <c r="M33" s="40"/>
      <c r="N33" s="44">
        <v>0</v>
      </c>
      <c r="O33" s="45">
        <v>4807</v>
      </c>
      <c r="P33" s="46">
        <f t="shared" si="6"/>
        <v>4807</v>
      </c>
      <c r="Q33" s="58">
        <v>0</v>
      </c>
      <c r="R33" s="46">
        <f t="shared" si="0"/>
        <v>-4807</v>
      </c>
      <c r="S33" s="48">
        <v>25193</v>
      </c>
      <c r="T33" s="59">
        <f t="shared" si="3"/>
        <v>0</v>
      </c>
      <c r="U33" s="46" t="e">
        <f>+#REF!-P33</f>
        <v>#REF!</v>
      </c>
      <c r="V33" s="48"/>
      <c r="W33" s="46"/>
      <c r="X33" s="46"/>
      <c r="Y33" s="46"/>
      <c r="Z33" s="46"/>
    </row>
    <row r="34" spans="1:26" ht="15.75" customHeight="1" hidden="1" outlineLevel="1">
      <c r="A34" s="41" t="s">
        <v>58</v>
      </c>
      <c r="B34" s="42"/>
      <c r="C34" s="42"/>
      <c r="D34" s="42"/>
      <c r="E34" s="42">
        <v>0</v>
      </c>
      <c r="F34" s="43"/>
      <c r="G34" s="42"/>
      <c r="H34" s="42"/>
      <c r="I34" s="42"/>
      <c r="J34" s="42"/>
      <c r="K34" s="42"/>
      <c r="L34" s="40"/>
      <c r="M34" s="40"/>
      <c r="N34" s="44">
        <v>225820</v>
      </c>
      <c r="O34" s="45">
        <v>0</v>
      </c>
      <c r="P34" s="46">
        <f t="shared" si="6"/>
        <v>225820</v>
      </c>
      <c r="Q34" s="58">
        <v>0</v>
      </c>
      <c r="R34" s="46">
        <f t="shared" si="0"/>
        <v>-225820</v>
      </c>
      <c r="S34" s="46">
        <v>225820</v>
      </c>
      <c r="T34" s="59">
        <f t="shared" si="3"/>
        <v>0</v>
      </c>
      <c r="U34" s="46">
        <f t="shared" si="1"/>
        <v>0</v>
      </c>
      <c r="V34" s="48"/>
      <c r="W34" s="46"/>
      <c r="X34" s="46"/>
      <c r="Y34" s="46"/>
      <c r="Z34" s="46"/>
    </row>
    <row r="35" spans="1:26" ht="15.75" customHeight="1" hidden="1" outlineLevel="1">
      <c r="A35" s="41" t="s">
        <v>59</v>
      </c>
      <c r="B35" s="42"/>
      <c r="C35" s="42"/>
      <c r="D35" s="42"/>
      <c r="E35" s="42">
        <v>0</v>
      </c>
      <c r="F35" s="43"/>
      <c r="G35" s="42"/>
      <c r="H35" s="42"/>
      <c r="I35" s="42"/>
      <c r="J35" s="42"/>
      <c r="K35" s="42"/>
      <c r="L35" s="40"/>
      <c r="M35" s="40"/>
      <c r="N35" s="44">
        <v>19887</v>
      </c>
      <c r="O35" s="45">
        <v>0</v>
      </c>
      <c r="P35" s="46">
        <f t="shared" si="6"/>
        <v>19887</v>
      </c>
      <c r="Q35" s="58">
        <v>0</v>
      </c>
      <c r="R35" s="46">
        <f t="shared" si="0"/>
        <v>-19887</v>
      </c>
      <c r="S35" s="46">
        <v>19887</v>
      </c>
      <c r="T35" s="59">
        <f t="shared" si="3"/>
        <v>0</v>
      </c>
      <c r="U35" s="46">
        <f t="shared" si="1"/>
        <v>0</v>
      </c>
      <c r="V35" s="48"/>
      <c r="W35" s="46"/>
      <c r="X35" s="46"/>
      <c r="Y35" s="46"/>
      <c r="Z35" s="46"/>
    </row>
    <row r="36" spans="1:26" ht="17.25" customHeight="1" hidden="1" outlineLevel="1">
      <c r="A36" s="41" t="s">
        <v>60</v>
      </c>
      <c r="B36" s="42">
        <v>6324</v>
      </c>
      <c r="C36" s="42">
        <v>0</v>
      </c>
      <c r="D36" s="42">
        <f t="shared" si="5"/>
        <v>-6324</v>
      </c>
      <c r="E36" s="42">
        <v>6324</v>
      </c>
      <c r="F36" s="43" t="s">
        <v>61</v>
      </c>
      <c r="G36" s="42"/>
      <c r="H36" s="42">
        <v>0</v>
      </c>
      <c r="I36" s="42">
        <v>0</v>
      </c>
      <c r="J36" s="42">
        <v>0</v>
      </c>
      <c r="K36" s="42">
        <v>0</v>
      </c>
      <c r="L36" s="40"/>
      <c r="M36" s="40"/>
      <c r="N36" s="44">
        <v>0</v>
      </c>
      <c r="O36" s="45">
        <v>6324</v>
      </c>
      <c r="P36" s="46">
        <f t="shared" si="6"/>
        <v>6324</v>
      </c>
      <c r="Q36" s="58">
        <v>0</v>
      </c>
      <c r="R36" s="46">
        <f t="shared" si="0"/>
        <v>-6324</v>
      </c>
      <c r="S36" s="46">
        <v>6324</v>
      </c>
      <c r="T36" s="59">
        <f t="shared" si="3"/>
        <v>0</v>
      </c>
      <c r="U36" s="46">
        <f t="shared" si="1"/>
        <v>0</v>
      </c>
      <c r="V36" s="48"/>
      <c r="W36" s="46"/>
      <c r="X36" s="46"/>
      <c r="Y36" s="46"/>
      <c r="Z36" s="46"/>
    </row>
    <row r="37" spans="1:26" ht="15.75" customHeight="1" hidden="1" outlineLevel="1">
      <c r="A37" s="41" t="s">
        <v>62</v>
      </c>
      <c r="B37" s="67">
        <v>2550</v>
      </c>
      <c r="C37" s="42">
        <v>0</v>
      </c>
      <c r="D37" s="42">
        <f t="shared" si="5"/>
        <v>-2550</v>
      </c>
      <c r="E37" s="68">
        <v>2550</v>
      </c>
      <c r="F37" s="44" t="s">
        <v>63</v>
      </c>
      <c r="G37" s="42"/>
      <c r="H37" s="69">
        <v>4880</v>
      </c>
      <c r="I37" s="42">
        <v>0</v>
      </c>
      <c r="J37" s="42">
        <v>0</v>
      </c>
      <c r="K37" s="42">
        <v>0</v>
      </c>
      <c r="L37" s="40"/>
      <c r="M37" s="40"/>
      <c r="N37" s="44">
        <v>0</v>
      </c>
      <c r="O37" s="45">
        <v>2550</v>
      </c>
      <c r="P37" s="46">
        <f t="shared" si="6"/>
        <v>2550</v>
      </c>
      <c r="Q37" s="58">
        <v>0</v>
      </c>
      <c r="R37" s="46">
        <f t="shared" si="0"/>
        <v>-2550</v>
      </c>
      <c r="S37" s="46">
        <v>2550</v>
      </c>
      <c r="T37" s="59">
        <f t="shared" si="3"/>
        <v>0</v>
      </c>
      <c r="U37" s="46">
        <f t="shared" si="1"/>
        <v>0</v>
      </c>
      <c r="V37" s="48"/>
      <c r="W37" s="46"/>
      <c r="X37" s="46"/>
      <c r="Y37" s="46"/>
      <c r="Z37" s="46"/>
    </row>
    <row r="38" spans="1:26" ht="17.25" customHeight="1" hidden="1" outlineLevel="1">
      <c r="A38" s="41" t="s">
        <v>64</v>
      </c>
      <c r="B38" s="42">
        <v>4057</v>
      </c>
      <c r="C38" s="42">
        <v>2646.25</v>
      </c>
      <c r="D38" s="42">
        <f t="shared" si="5"/>
        <v>-1410.75</v>
      </c>
      <c r="E38" s="42">
        <v>1411</v>
      </c>
      <c r="F38" s="43" t="s">
        <v>65</v>
      </c>
      <c r="G38" s="42"/>
      <c r="H38" s="42">
        <v>0</v>
      </c>
      <c r="I38" s="42">
        <v>0</v>
      </c>
      <c r="J38" s="42">
        <v>0</v>
      </c>
      <c r="K38" s="42">
        <v>0</v>
      </c>
      <c r="L38" s="40"/>
      <c r="M38" s="40"/>
      <c r="N38" s="44">
        <v>0</v>
      </c>
      <c r="O38" s="45">
        <v>1411</v>
      </c>
      <c r="P38" s="46">
        <f t="shared" si="6"/>
        <v>1411</v>
      </c>
      <c r="Q38" s="58">
        <v>0</v>
      </c>
      <c r="R38" s="46">
        <f t="shared" si="0"/>
        <v>-1411</v>
      </c>
      <c r="S38" s="46">
        <v>1411</v>
      </c>
      <c r="T38" s="59">
        <f t="shared" si="3"/>
        <v>0</v>
      </c>
      <c r="U38" s="46">
        <f t="shared" si="1"/>
        <v>0</v>
      </c>
      <c r="V38" s="48"/>
      <c r="W38" s="46"/>
      <c r="X38" s="46"/>
      <c r="Y38" s="46"/>
      <c r="Z38" s="46"/>
    </row>
    <row r="39" spans="1:26" ht="16.5" customHeight="1" hidden="1" outlineLevel="1">
      <c r="A39" s="41" t="s">
        <v>66</v>
      </c>
      <c r="B39" s="42">
        <v>11602</v>
      </c>
      <c r="C39" s="42">
        <v>10200.53</v>
      </c>
      <c r="D39" s="42">
        <f t="shared" si="5"/>
        <v>-1401.4699999999993</v>
      </c>
      <c r="E39" s="42">
        <v>1401</v>
      </c>
      <c r="F39" s="43" t="s">
        <v>67</v>
      </c>
      <c r="G39" s="42"/>
      <c r="H39" s="42">
        <v>1400</v>
      </c>
      <c r="I39" s="42">
        <v>0</v>
      </c>
      <c r="J39" s="42">
        <v>0</v>
      </c>
      <c r="K39" s="42">
        <v>0</v>
      </c>
      <c r="L39" s="40"/>
      <c r="M39" s="40"/>
      <c r="N39" s="44">
        <v>0</v>
      </c>
      <c r="O39" s="45">
        <v>1401</v>
      </c>
      <c r="P39" s="46">
        <f t="shared" si="6"/>
        <v>1401</v>
      </c>
      <c r="Q39" s="58">
        <v>0</v>
      </c>
      <c r="R39" s="46">
        <f t="shared" si="0"/>
        <v>-1401</v>
      </c>
      <c r="S39" s="46">
        <v>1401</v>
      </c>
      <c r="T39" s="59">
        <f t="shared" si="3"/>
        <v>0</v>
      </c>
      <c r="U39" s="46">
        <f t="shared" si="1"/>
        <v>0</v>
      </c>
      <c r="V39" s="48"/>
      <c r="W39" s="46"/>
      <c r="X39" s="46"/>
      <c r="Y39" s="46"/>
      <c r="Z39" s="46"/>
    </row>
    <row r="40" spans="1:26" ht="18.75" customHeight="1" hidden="1" outlineLevel="1">
      <c r="A40" s="41" t="s">
        <v>68</v>
      </c>
      <c r="B40" s="42">
        <v>8100</v>
      </c>
      <c r="C40" s="42">
        <v>6962</v>
      </c>
      <c r="D40" s="42">
        <f t="shared" si="5"/>
        <v>-1138</v>
      </c>
      <c r="E40" s="42">
        <v>1138</v>
      </c>
      <c r="F40" s="43" t="s">
        <v>69</v>
      </c>
      <c r="G40" s="42"/>
      <c r="H40" s="42">
        <v>0</v>
      </c>
      <c r="I40" s="42">
        <v>0</v>
      </c>
      <c r="J40" s="42">
        <v>0</v>
      </c>
      <c r="K40" s="42">
        <v>0</v>
      </c>
      <c r="L40" s="40"/>
      <c r="M40" s="40"/>
      <c r="N40" s="44">
        <v>8100</v>
      </c>
      <c r="O40" s="45">
        <v>1138</v>
      </c>
      <c r="P40" s="46">
        <f t="shared" si="6"/>
        <v>9238</v>
      </c>
      <c r="Q40" s="58">
        <v>0</v>
      </c>
      <c r="R40" s="46">
        <f t="shared" si="0"/>
        <v>-9238</v>
      </c>
      <c r="S40" s="46">
        <v>9238</v>
      </c>
      <c r="T40" s="59">
        <f t="shared" si="3"/>
        <v>0</v>
      </c>
      <c r="U40" s="46">
        <f t="shared" si="1"/>
        <v>0</v>
      </c>
      <c r="V40" s="48"/>
      <c r="W40" s="46"/>
      <c r="X40" s="46"/>
      <c r="Y40" s="46"/>
      <c r="Z40" s="46"/>
    </row>
    <row r="41" spans="1:26" ht="18" customHeight="1" hidden="1" outlineLevel="1">
      <c r="A41" s="41" t="s">
        <v>70</v>
      </c>
      <c r="B41" s="42">
        <v>0</v>
      </c>
      <c r="C41" s="42">
        <v>109348.81</v>
      </c>
      <c r="D41" s="42">
        <f t="shared" si="5"/>
        <v>109348.81</v>
      </c>
      <c r="E41" s="42">
        <v>0</v>
      </c>
      <c r="F41" s="43" t="s">
        <v>71</v>
      </c>
      <c r="G41" s="42"/>
      <c r="H41" s="42">
        <v>0</v>
      </c>
      <c r="I41" s="42">
        <v>0</v>
      </c>
      <c r="J41" s="42">
        <v>0</v>
      </c>
      <c r="K41" s="42">
        <v>0</v>
      </c>
      <c r="L41" s="40"/>
      <c r="M41" s="40"/>
      <c r="O41" s="45">
        <v>0</v>
      </c>
      <c r="P41" s="46">
        <f t="shared" si="6"/>
        <v>0</v>
      </c>
      <c r="Q41" s="58">
        <v>1023</v>
      </c>
      <c r="R41" s="46">
        <f t="shared" si="0"/>
        <v>1023</v>
      </c>
      <c r="S41" s="46">
        <v>1023</v>
      </c>
      <c r="T41" s="59">
        <v>0</v>
      </c>
      <c r="U41" s="46">
        <f t="shared" si="1"/>
        <v>1023</v>
      </c>
      <c r="V41" s="46"/>
      <c r="W41" s="46"/>
      <c r="X41" s="46"/>
      <c r="Y41" s="46"/>
      <c r="Z41" s="46"/>
    </row>
    <row r="42" spans="1:26" ht="18" customHeight="1" hidden="1" outlineLevel="1">
      <c r="A42" s="41" t="s">
        <v>72</v>
      </c>
      <c r="B42" s="42"/>
      <c r="C42" s="42"/>
      <c r="D42" s="42"/>
      <c r="E42" s="42">
        <v>0</v>
      </c>
      <c r="F42" s="43"/>
      <c r="G42" s="42"/>
      <c r="H42" s="42"/>
      <c r="I42" s="42"/>
      <c r="J42" s="42"/>
      <c r="K42" s="42"/>
      <c r="L42" s="40"/>
      <c r="M42" s="40"/>
      <c r="N42" s="44">
        <v>116429</v>
      </c>
      <c r="O42" s="45">
        <v>0</v>
      </c>
      <c r="P42" s="46">
        <f t="shared" si="6"/>
        <v>116429</v>
      </c>
      <c r="Q42" s="58">
        <v>0</v>
      </c>
      <c r="R42" s="46">
        <f t="shared" si="0"/>
        <v>-116429</v>
      </c>
      <c r="S42" s="46">
        <v>116429</v>
      </c>
      <c r="T42" s="59">
        <f t="shared" si="3"/>
        <v>0</v>
      </c>
      <c r="U42" s="46">
        <f t="shared" si="1"/>
        <v>0</v>
      </c>
      <c r="V42" s="46"/>
      <c r="W42" s="46"/>
      <c r="X42" s="46"/>
      <c r="Y42" s="46"/>
      <c r="Z42" s="46"/>
    </row>
    <row r="43" spans="1:26" ht="15.75" customHeight="1" outlineLevel="1" thickBot="1">
      <c r="A43" s="41" t="s">
        <v>73</v>
      </c>
      <c r="B43" s="42">
        <v>1601956</v>
      </c>
      <c r="C43" s="42">
        <v>915239.96</v>
      </c>
      <c r="D43" s="42">
        <f t="shared" si="5"/>
        <v>-686716.04</v>
      </c>
      <c r="E43" s="42">
        <v>686716</v>
      </c>
      <c r="F43" s="43" t="s">
        <v>74</v>
      </c>
      <c r="G43" s="42"/>
      <c r="H43" s="42">
        <v>1874756</v>
      </c>
      <c r="I43" s="42">
        <v>90000</v>
      </c>
      <c r="J43" s="42">
        <v>0</v>
      </c>
      <c r="K43" s="42">
        <v>0</v>
      </c>
      <c r="L43" s="40"/>
      <c r="M43" s="40"/>
      <c r="N43" s="44">
        <v>1666778</v>
      </c>
      <c r="O43" s="45">
        <v>686716</v>
      </c>
      <c r="P43" s="46">
        <f t="shared" si="6"/>
        <v>2353494</v>
      </c>
      <c r="Q43" s="58">
        <v>1189193.93</v>
      </c>
      <c r="R43" s="46">
        <f t="shared" si="0"/>
        <v>-1164300.07</v>
      </c>
      <c r="S43" s="46">
        <v>2653494</v>
      </c>
      <c r="T43" s="59">
        <f t="shared" si="3"/>
        <v>0.5052887026693078</v>
      </c>
      <c r="U43" s="46">
        <f t="shared" si="1"/>
        <v>300000</v>
      </c>
      <c r="V43" s="46">
        <v>90000</v>
      </c>
      <c r="W43" s="46"/>
      <c r="X43" s="46"/>
      <c r="Y43" s="46"/>
      <c r="Z43" s="46"/>
    </row>
    <row r="44" spans="1:26" ht="12" customHeight="1" hidden="1" outlineLevel="1">
      <c r="A44" s="41" t="s">
        <v>75</v>
      </c>
      <c r="B44" s="42"/>
      <c r="C44" s="42"/>
      <c r="D44" s="42"/>
      <c r="E44" s="42">
        <v>0</v>
      </c>
      <c r="F44" s="43"/>
      <c r="G44" s="42"/>
      <c r="H44" s="42"/>
      <c r="I44" s="42"/>
      <c r="J44" s="42"/>
      <c r="K44" s="42"/>
      <c r="L44" s="40"/>
      <c r="M44" s="40"/>
      <c r="N44" s="44">
        <v>56000</v>
      </c>
      <c r="O44" s="45">
        <v>0</v>
      </c>
      <c r="P44" s="46">
        <f t="shared" si="6"/>
        <v>56000</v>
      </c>
      <c r="Q44" s="58">
        <v>0</v>
      </c>
      <c r="R44" s="46">
        <f t="shared" si="0"/>
        <v>-56000</v>
      </c>
      <c r="S44" s="46">
        <v>56000</v>
      </c>
      <c r="T44" s="59">
        <f t="shared" si="3"/>
        <v>0</v>
      </c>
      <c r="U44" s="46">
        <f t="shared" si="1"/>
        <v>0</v>
      </c>
      <c r="V44" s="46"/>
      <c r="W44" s="46"/>
      <c r="X44" s="46"/>
      <c r="Y44" s="46"/>
      <c r="Z44" s="46"/>
    </row>
    <row r="45" spans="1:26" ht="13.5" hidden="1" outlineLevel="1" thickBot="1">
      <c r="A45" s="41" t="s">
        <v>76</v>
      </c>
      <c r="B45" s="42"/>
      <c r="C45" s="42"/>
      <c r="D45" s="42"/>
      <c r="E45" s="42">
        <v>0</v>
      </c>
      <c r="F45" s="43"/>
      <c r="G45" s="42"/>
      <c r="H45" s="42"/>
      <c r="I45" s="42"/>
      <c r="J45" s="42"/>
      <c r="K45" s="42"/>
      <c r="L45" s="40"/>
      <c r="M45" s="40"/>
      <c r="N45" s="44">
        <v>16362</v>
      </c>
      <c r="O45" s="45"/>
      <c r="P45" s="46">
        <f t="shared" si="6"/>
        <v>16362</v>
      </c>
      <c r="Q45" s="58">
        <v>0</v>
      </c>
      <c r="R45" s="46">
        <f t="shared" si="0"/>
        <v>-16362</v>
      </c>
      <c r="S45" s="46">
        <v>16362</v>
      </c>
      <c r="T45" s="60">
        <f t="shared" si="3"/>
        <v>0</v>
      </c>
      <c r="U45" s="46">
        <f t="shared" si="1"/>
        <v>0</v>
      </c>
      <c r="V45" s="46"/>
      <c r="W45" s="46"/>
      <c r="X45" s="46"/>
      <c r="Y45" s="46"/>
      <c r="Z45" s="46"/>
    </row>
    <row r="46" spans="1:33" s="66" customFormat="1" ht="15.75" collapsed="1" thickBot="1">
      <c r="A46" s="93" t="s">
        <v>77</v>
      </c>
      <c r="B46" s="1">
        <f>SUM(B28:B43)</f>
        <v>1785394</v>
      </c>
      <c r="C46" s="1">
        <f>SUM(C28:C43)</f>
        <v>1178366.67</v>
      </c>
      <c r="D46" s="1">
        <f>SUM(D28:D43)</f>
        <v>-607027.3300000001</v>
      </c>
      <c r="E46" s="1">
        <f>SUM(E28:E45)</f>
        <v>716222</v>
      </c>
      <c r="F46" s="2"/>
      <c r="G46" s="3"/>
      <c r="H46" s="1">
        <f>SUM(H28:H43)</f>
        <v>1929261</v>
      </c>
      <c r="I46" s="1">
        <f>SUM(I28:I43)</f>
        <v>90000</v>
      </c>
      <c r="J46" s="1">
        <f>SUM(J28:J43)</f>
        <v>0</v>
      </c>
      <c r="K46" s="1">
        <f>SUM(K28:K43)</f>
        <v>0</v>
      </c>
      <c r="L46" s="4"/>
      <c r="M46" s="4"/>
      <c r="N46" s="1">
        <f>SUM(N28:N45)</f>
        <v>2221047</v>
      </c>
      <c r="O46" s="5">
        <f>SUM(O28:O45)</f>
        <v>716222</v>
      </c>
      <c r="P46" s="5">
        <f>+SUM(P28:P45)</f>
        <v>2937269</v>
      </c>
      <c r="Q46" s="5">
        <f>+SUM(Q28:Q45)</f>
        <v>1194440.92</v>
      </c>
      <c r="R46" s="5">
        <f>+SUM(R28:R45)</f>
        <v>-1742828.08</v>
      </c>
      <c r="S46" s="5">
        <f>+SUM(S28:S45)</f>
        <v>3258678</v>
      </c>
      <c r="T46" s="6">
        <f t="shared" si="3"/>
        <v>0.4066501638086263</v>
      </c>
      <c r="U46" s="7">
        <f t="shared" si="1"/>
        <v>321409</v>
      </c>
      <c r="V46" s="5">
        <f>SUM(V28:V45)</f>
        <v>90000</v>
      </c>
      <c r="W46" s="5">
        <f>SUM(W28:W45)</f>
        <v>0</v>
      </c>
      <c r="X46" s="5">
        <f>SUM(X28:X45)</f>
        <v>0</v>
      </c>
      <c r="Y46" s="5">
        <f>SUM(Y28:Y45)</f>
        <v>0</v>
      </c>
      <c r="Z46" s="5">
        <f>SUM(Z28:Z45)</f>
        <v>0</v>
      </c>
      <c r="AA46" s="104">
        <f>SUM(AA18:AA44)</f>
        <v>690000</v>
      </c>
      <c r="AB46" s="104">
        <f>SUM(AB18:AB44)</f>
        <v>690000</v>
      </c>
      <c r="AC46" s="104">
        <f>SUM(AC18:AC44)</f>
        <v>690000</v>
      </c>
      <c r="AD46" s="104">
        <f>SUM(AD18:AD44)</f>
        <v>640000</v>
      </c>
      <c r="AE46" s="104">
        <f>SUM(AE18:AE44)</f>
        <v>0</v>
      </c>
      <c r="AF46" s="105" t="e">
        <f>AE46/Z46</f>
        <v>#DIV/0!</v>
      </c>
      <c r="AG46" s="104">
        <f>SUM(AG18:AG44)</f>
        <v>0</v>
      </c>
    </row>
    <row r="47" spans="1:26" ht="15" customHeight="1" hidden="1" outlineLevel="1">
      <c r="A47" s="94" t="s">
        <v>78</v>
      </c>
      <c r="B47" s="42">
        <v>10237</v>
      </c>
      <c r="C47" s="42">
        <v>31730.28</v>
      </c>
      <c r="D47" s="42">
        <f aca="true" t="shared" si="7" ref="D47:D71">C47-B47</f>
        <v>21493.28</v>
      </c>
      <c r="E47" s="42">
        <v>-21493.28</v>
      </c>
      <c r="F47" s="70" t="s">
        <v>79</v>
      </c>
      <c r="G47" s="42"/>
      <c r="H47" s="42">
        <v>0</v>
      </c>
      <c r="I47" s="42">
        <v>0</v>
      </c>
      <c r="J47" s="42">
        <v>0</v>
      </c>
      <c r="K47" s="42">
        <v>0</v>
      </c>
      <c r="L47" s="40"/>
      <c r="M47" s="40"/>
      <c r="N47" s="44">
        <v>0</v>
      </c>
      <c r="O47" s="45">
        <v>-21493.28</v>
      </c>
      <c r="P47" s="46">
        <f>N47+O47</f>
        <v>-21493.28</v>
      </c>
      <c r="Q47" s="58">
        <v>0</v>
      </c>
      <c r="R47" s="46">
        <f t="shared" si="0"/>
        <v>21493.28</v>
      </c>
      <c r="S47" s="46"/>
      <c r="T47" s="59">
        <f t="shared" si="3"/>
        <v>0</v>
      </c>
      <c r="U47" s="46">
        <f t="shared" si="1"/>
        <v>21493.28</v>
      </c>
      <c r="V47" s="46"/>
      <c r="W47" s="46"/>
      <c r="X47" s="46"/>
      <c r="Y47" s="46"/>
      <c r="Z47" s="46"/>
    </row>
    <row r="48" spans="1:26" ht="12.75" hidden="1" outlineLevel="1">
      <c r="A48" s="41" t="s">
        <v>80</v>
      </c>
      <c r="B48" s="42">
        <v>38350</v>
      </c>
      <c r="C48" s="42">
        <v>55795.83</v>
      </c>
      <c r="D48" s="42">
        <f t="shared" si="7"/>
        <v>17445.83</v>
      </c>
      <c r="E48" s="42">
        <v>-17445.83</v>
      </c>
      <c r="F48" s="70" t="s">
        <v>81</v>
      </c>
      <c r="G48" s="42"/>
      <c r="H48" s="42">
        <v>0</v>
      </c>
      <c r="I48" s="42">
        <v>0</v>
      </c>
      <c r="J48" s="42">
        <v>0</v>
      </c>
      <c r="K48" s="42">
        <v>0</v>
      </c>
      <c r="L48" s="40"/>
      <c r="M48" s="40"/>
      <c r="N48" s="44">
        <v>0</v>
      </c>
      <c r="O48" s="45">
        <v>-17445.83</v>
      </c>
      <c r="P48" s="46">
        <f aca="true" t="shared" si="8" ref="P48:P95">N48+O48</f>
        <v>-17445.83</v>
      </c>
      <c r="Q48" s="58">
        <v>183.1</v>
      </c>
      <c r="R48" s="46">
        <f t="shared" si="0"/>
        <v>17628.93</v>
      </c>
      <c r="S48" s="46"/>
      <c r="T48" s="59">
        <f t="shared" si="3"/>
        <v>-0.010495344732810075</v>
      </c>
      <c r="U48" s="46">
        <f t="shared" si="1"/>
        <v>17445.83</v>
      </c>
      <c r="V48" s="46"/>
      <c r="W48" s="46"/>
      <c r="X48" s="46"/>
      <c r="Y48" s="46"/>
      <c r="Z48" s="46"/>
    </row>
    <row r="49" spans="1:26" ht="12.75" hidden="1" outlineLevel="1">
      <c r="A49" s="41" t="s">
        <v>82</v>
      </c>
      <c r="B49" s="42">
        <v>671533</v>
      </c>
      <c r="C49" s="42">
        <v>107985.26</v>
      </c>
      <c r="D49" s="42">
        <f t="shared" si="7"/>
        <v>-563547.74</v>
      </c>
      <c r="E49" s="42">
        <v>563547.74</v>
      </c>
      <c r="F49" s="70" t="s">
        <v>83</v>
      </c>
      <c r="G49" s="42"/>
      <c r="H49" s="42">
        <v>0</v>
      </c>
      <c r="I49" s="42">
        <v>0</v>
      </c>
      <c r="J49" s="42">
        <v>0</v>
      </c>
      <c r="K49" s="42">
        <v>0</v>
      </c>
      <c r="L49" s="40"/>
      <c r="M49" s="40"/>
      <c r="N49" s="44">
        <v>0</v>
      </c>
      <c r="O49" s="45">
        <v>563547.74</v>
      </c>
      <c r="P49" s="46">
        <f t="shared" si="8"/>
        <v>563547.74</v>
      </c>
      <c r="Q49" s="58">
        <v>0</v>
      </c>
      <c r="R49" s="46">
        <f t="shared" si="0"/>
        <v>-563547.74</v>
      </c>
      <c r="S49" s="46"/>
      <c r="T49" s="59">
        <f t="shared" si="3"/>
        <v>0</v>
      </c>
      <c r="U49" s="46">
        <f t="shared" si="1"/>
        <v>-563547.74</v>
      </c>
      <c r="V49" s="46"/>
      <c r="W49" s="46"/>
      <c r="X49" s="46"/>
      <c r="Y49" s="46"/>
      <c r="Z49" s="46"/>
    </row>
    <row r="50" spans="1:26" ht="12.75" hidden="1" outlineLevel="1">
      <c r="A50" s="41" t="s">
        <v>84</v>
      </c>
      <c r="B50" s="42">
        <v>135877</v>
      </c>
      <c r="C50" s="42">
        <v>78942.35</v>
      </c>
      <c r="D50" s="42">
        <f t="shared" si="7"/>
        <v>-56934.649999999994</v>
      </c>
      <c r="E50" s="42">
        <v>56934.65</v>
      </c>
      <c r="F50" s="70" t="s">
        <v>85</v>
      </c>
      <c r="G50" s="42"/>
      <c r="H50" s="42">
        <v>0</v>
      </c>
      <c r="I50" s="42">
        <v>0</v>
      </c>
      <c r="J50" s="42">
        <v>0</v>
      </c>
      <c r="K50" s="42">
        <v>0</v>
      </c>
      <c r="L50" s="40"/>
      <c r="M50" s="40"/>
      <c r="N50" s="44">
        <v>0</v>
      </c>
      <c r="O50" s="45">
        <v>56934.65</v>
      </c>
      <c r="P50" s="46">
        <f t="shared" si="8"/>
        <v>56934.65</v>
      </c>
      <c r="Q50" s="58">
        <v>-1310</v>
      </c>
      <c r="R50" s="46">
        <f t="shared" si="0"/>
        <v>-58244.65</v>
      </c>
      <c r="S50" s="46"/>
      <c r="T50" s="59">
        <f t="shared" si="3"/>
        <v>-0.023008835568498268</v>
      </c>
      <c r="U50" s="46">
        <f t="shared" si="1"/>
        <v>-56934.65</v>
      </c>
      <c r="V50" s="46"/>
      <c r="W50" s="46"/>
      <c r="X50" s="46"/>
      <c r="Y50" s="46"/>
      <c r="Z50" s="46"/>
    </row>
    <row r="51" spans="1:26" ht="12.75" hidden="1" outlineLevel="1">
      <c r="A51" s="41" t="s">
        <v>86</v>
      </c>
      <c r="B51" s="42">
        <v>125636</v>
      </c>
      <c r="C51" s="42">
        <v>86473.64</v>
      </c>
      <c r="D51" s="42">
        <f t="shared" si="7"/>
        <v>-39162.36</v>
      </c>
      <c r="E51" s="42">
        <v>39162.36</v>
      </c>
      <c r="F51" s="70" t="s">
        <v>87</v>
      </c>
      <c r="G51" s="42"/>
      <c r="H51" s="42">
        <v>0</v>
      </c>
      <c r="I51" s="42">
        <v>0</v>
      </c>
      <c r="J51" s="42">
        <v>0</v>
      </c>
      <c r="K51" s="42">
        <v>0</v>
      </c>
      <c r="L51" s="40"/>
      <c r="M51" s="40"/>
      <c r="N51" s="44">
        <v>0</v>
      </c>
      <c r="O51" s="45">
        <v>39162.36</v>
      </c>
      <c r="P51" s="46">
        <f t="shared" si="8"/>
        <v>39162.36</v>
      </c>
      <c r="Q51" s="58">
        <v>22021.3</v>
      </c>
      <c r="R51" s="46">
        <f t="shared" si="0"/>
        <v>-17141.06</v>
      </c>
      <c r="S51" s="46">
        <v>23301</v>
      </c>
      <c r="T51" s="59">
        <f t="shared" si="3"/>
        <v>0.5623077873754289</v>
      </c>
      <c r="U51" s="46">
        <f t="shared" si="1"/>
        <v>-15861.36</v>
      </c>
      <c r="V51" s="46"/>
      <c r="W51" s="46"/>
      <c r="X51" s="46"/>
      <c r="Y51" s="46"/>
      <c r="Z51" s="46"/>
    </row>
    <row r="52" spans="1:26" ht="12.75" hidden="1" outlineLevel="1">
      <c r="A52" s="41" t="s">
        <v>88</v>
      </c>
      <c r="B52" s="42">
        <v>10837</v>
      </c>
      <c r="C52" s="42">
        <v>84330.91</v>
      </c>
      <c r="D52" s="42">
        <f t="shared" si="7"/>
        <v>73493.91</v>
      </c>
      <c r="E52" s="42">
        <v>-73493.91</v>
      </c>
      <c r="F52" s="70" t="s">
        <v>10</v>
      </c>
      <c r="G52" s="42"/>
      <c r="H52" s="42">
        <v>0</v>
      </c>
      <c r="I52" s="42">
        <v>0</v>
      </c>
      <c r="J52" s="42">
        <v>0</v>
      </c>
      <c r="K52" s="42">
        <v>0</v>
      </c>
      <c r="L52" s="40"/>
      <c r="M52" s="40"/>
      <c r="N52" s="44">
        <v>0</v>
      </c>
      <c r="O52" s="45">
        <v>-73493.91</v>
      </c>
      <c r="P52" s="46">
        <f t="shared" si="8"/>
        <v>-73493.91</v>
      </c>
      <c r="Q52" s="58">
        <v>-20.04</v>
      </c>
      <c r="R52" s="46">
        <f t="shared" si="0"/>
        <v>73473.87000000001</v>
      </c>
      <c r="S52" s="46">
        <v>28130</v>
      </c>
      <c r="T52" s="59">
        <f t="shared" si="3"/>
        <v>0.0002726756543501359</v>
      </c>
      <c r="U52" s="46">
        <f t="shared" si="1"/>
        <v>101623.91</v>
      </c>
      <c r="V52" s="46"/>
      <c r="W52" s="46"/>
      <c r="X52" s="46"/>
      <c r="Y52" s="46"/>
      <c r="Z52" s="46"/>
    </row>
    <row r="53" spans="1:26" ht="12.75" hidden="1" outlineLevel="1">
      <c r="A53" s="41" t="s">
        <v>89</v>
      </c>
      <c r="B53" s="42">
        <v>256863</v>
      </c>
      <c r="C53" s="42">
        <v>759308.8</v>
      </c>
      <c r="D53" s="42">
        <f t="shared" si="7"/>
        <v>502445.80000000005</v>
      </c>
      <c r="E53" s="42">
        <v>-502445.8</v>
      </c>
      <c r="F53" s="43"/>
      <c r="G53" s="42"/>
      <c r="H53" s="42">
        <v>0</v>
      </c>
      <c r="I53" s="42">
        <v>0</v>
      </c>
      <c r="J53" s="42">
        <v>0</v>
      </c>
      <c r="K53" s="42">
        <v>0</v>
      </c>
      <c r="L53" s="40"/>
      <c r="M53" s="40"/>
      <c r="N53" s="44">
        <v>0</v>
      </c>
      <c r="O53" s="45">
        <v>-502445.8</v>
      </c>
      <c r="P53" s="46">
        <f t="shared" si="8"/>
        <v>-502445.8</v>
      </c>
      <c r="Q53" s="58">
        <v>1651.58</v>
      </c>
      <c r="R53" s="46">
        <f t="shared" si="0"/>
        <v>504097.38</v>
      </c>
      <c r="S53" s="46">
        <v>96521</v>
      </c>
      <c r="T53" s="59">
        <f t="shared" si="3"/>
        <v>-0.0032870809149962046</v>
      </c>
      <c r="U53" s="46">
        <f t="shared" si="1"/>
        <v>598966.8</v>
      </c>
      <c r="V53" s="46"/>
      <c r="W53" s="46"/>
      <c r="X53" s="46"/>
      <c r="Y53" s="46"/>
      <c r="Z53" s="46"/>
    </row>
    <row r="54" spans="1:26" ht="12.75" hidden="1" outlineLevel="1">
      <c r="A54" s="41" t="s">
        <v>90</v>
      </c>
      <c r="B54" s="42">
        <v>614880</v>
      </c>
      <c r="C54" s="42">
        <v>602286.6</v>
      </c>
      <c r="D54" s="42">
        <f t="shared" si="7"/>
        <v>-12593.400000000023</v>
      </c>
      <c r="E54" s="42">
        <v>12593.399999999907</v>
      </c>
      <c r="F54" s="43"/>
      <c r="G54" s="42"/>
      <c r="H54" s="42">
        <v>33000</v>
      </c>
      <c r="I54" s="42">
        <v>0</v>
      </c>
      <c r="J54" s="42">
        <v>0</v>
      </c>
      <c r="K54" s="42">
        <v>0</v>
      </c>
      <c r="L54" s="40"/>
      <c r="M54" s="40"/>
      <c r="N54" s="44">
        <v>33000</v>
      </c>
      <c r="O54" s="45">
        <v>12593.399999999907</v>
      </c>
      <c r="P54" s="46">
        <f t="shared" si="8"/>
        <v>45593.39999999991</v>
      </c>
      <c r="Q54" s="58">
        <v>76686.91</v>
      </c>
      <c r="R54" s="46">
        <f t="shared" si="0"/>
        <v>31093.510000000097</v>
      </c>
      <c r="S54" s="46"/>
      <c r="T54" s="59">
        <f t="shared" si="3"/>
        <v>1.6819739260507038</v>
      </c>
      <c r="U54" s="46">
        <f t="shared" si="1"/>
        <v>-45593.39999999991</v>
      </c>
      <c r="V54" s="46"/>
      <c r="W54" s="46"/>
      <c r="X54" s="46"/>
      <c r="Y54" s="46"/>
      <c r="Z54" s="46"/>
    </row>
    <row r="55" spans="1:26" ht="12.75" hidden="1" outlineLevel="1">
      <c r="A55" s="41" t="s">
        <v>91</v>
      </c>
      <c r="B55" s="42">
        <v>730958</v>
      </c>
      <c r="C55" s="42">
        <v>433829.56</v>
      </c>
      <c r="D55" s="42">
        <f t="shared" si="7"/>
        <v>-297128.44</v>
      </c>
      <c r="E55" s="42">
        <v>297128.44</v>
      </c>
      <c r="F55" s="43"/>
      <c r="G55" s="42"/>
      <c r="H55" s="42">
        <v>38000</v>
      </c>
      <c r="I55" s="42">
        <v>0</v>
      </c>
      <c r="J55" s="42">
        <v>0</v>
      </c>
      <c r="K55" s="42">
        <v>0</v>
      </c>
      <c r="L55" s="40"/>
      <c r="M55" s="40"/>
      <c r="N55" s="44">
        <v>38000</v>
      </c>
      <c r="O55" s="45">
        <v>297128.44</v>
      </c>
      <c r="P55" s="46">
        <f t="shared" si="8"/>
        <v>335128.44</v>
      </c>
      <c r="Q55" s="58">
        <v>0</v>
      </c>
      <c r="R55" s="46">
        <f t="shared" si="0"/>
        <v>-335128.44</v>
      </c>
      <c r="S55" s="46">
        <v>335128.44</v>
      </c>
      <c r="T55" s="59">
        <f t="shared" si="3"/>
        <v>0</v>
      </c>
      <c r="U55" s="46">
        <f t="shared" si="1"/>
        <v>0</v>
      </c>
      <c r="V55" s="46"/>
      <c r="W55" s="46"/>
      <c r="X55" s="46"/>
      <c r="Y55" s="46"/>
      <c r="Z55" s="46"/>
    </row>
    <row r="56" spans="1:26" ht="12.75" hidden="1" outlineLevel="1">
      <c r="A56" s="41" t="s">
        <v>92</v>
      </c>
      <c r="B56" s="42">
        <v>570673</v>
      </c>
      <c r="C56" s="42">
        <v>657522.84</v>
      </c>
      <c r="D56" s="42">
        <f t="shared" si="7"/>
        <v>86849.83999999997</v>
      </c>
      <c r="E56" s="42">
        <v>-86849.84</v>
      </c>
      <c r="F56" s="43"/>
      <c r="G56" s="42"/>
      <c r="H56" s="42">
        <v>30000</v>
      </c>
      <c r="I56" s="42">
        <v>0</v>
      </c>
      <c r="J56" s="42">
        <v>0</v>
      </c>
      <c r="K56" s="42">
        <v>0</v>
      </c>
      <c r="L56" s="40"/>
      <c r="M56" s="40"/>
      <c r="N56" s="44">
        <v>30000</v>
      </c>
      <c r="O56" s="45">
        <v>-86849.84</v>
      </c>
      <c r="P56" s="46">
        <f t="shared" si="8"/>
        <v>-56849.84</v>
      </c>
      <c r="Q56" s="58">
        <v>0</v>
      </c>
      <c r="R56" s="46">
        <f t="shared" si="0"/>
        <v>56849.84</v>
      </c>
      <c r="S56" s="46"/>
      <c r="T56" s="59">
        <f t="shared" si="3"/>
        <v>0</v>
      </c>
      <c r="U56" s="46">
        <f t="shared" si="1"/>
        <v>56849.84</v>
      </c>
      <c r="V56" s="46"/>
      <c r="W56" s="46"/>
      <c r="X56" s="46"/>
      <c r="Y56" s="46"/>
      <c r="Z56" s="46"/>
    </row>
    <row r="57" spans="1:26" ht="12.75" hidden="1" outlineLevel="1">
      <c r="A57" s="41" t="s">
        <v>93</v>
      </c>
      <c r="B57" s="42"/>
      <c r="C57" s="42"/>
      <c r="D57" s="42"/>
      <c r="E57" s="42">
        <v>0</v>
      </c>
      <c r="F57" s="43"/>
      <c r="G57" s="42"/>
      <c r="H57" s="42"/>
      <c r="I57" s="42"/>
      <c r="J57" s="42"/>
      <c r="K57" s="42"/>
      <c r="L57" s="40"/>
      <c r="M57" s="40"/>
      <c r="N57" s="44">
        <v>30000</v>
      </c>
      <c r="O57" s="45">
        <v>0</v>
      </c>
      <c r="P57" s="46">
        <f t="shared" si="8"/>
        <v>30000</v>
      </c>
      <c r="Q57" s="71">
        <v>0</v>
      </c>
      <c r="R57" s="46">
        <f t="shared" si="0"/>
        <v>-30000</v>
      </c>
      <c r="S57" s="46"/>
      <c r="T57" s="59">
        <f t="shared" si="3"/>
        <v>0</v>
      </c>
      <c r="U57" s="46">
        <f t="shared" si="1"/>
        <v>-30000</v>
      </c>
      <c r="V57" s="46"/>
      <c r="W57" s="46"/>
      <c r="X57" s="46"/>
      <c r="Y57" s="46"/>
      <c r="Z57" s="46"/>
    </row>
    <row r="58" spans="1:26" ht="12.75" hidden="1" outlineLevel="1">
      <c r="A58" s="41" t="s">
        <v>94</v>
      </c>
      <c r="B58" s="42"/>
      <c r="C58" s="42"/>
      <c r="D58" s="42"/>
      <c r="E58" s="42">
        <v>0</v>
      </c>
      <c r="F58" s="43"/>
      <c r="G58" s="42"/>
      <c r="H58" s="42"/>
      <c r="I58" s="42"/>
      <c r="J58" s="42"/>
      <c r="K58" s="42"/>
      <c r="L58" s="40"/>
      <c r="M58" s="40"/>
      <c r="N58" s="44">
        <v>12147</v>
      </c>
      <c r="O58" s="45">
        <v>0</v>
      </c>
      <c r="P58" s="46">
        <f t="shared" si="8"/>
        <v>12147</v>
      </c>
      <c r="Q58" s="58">
        <v>0</v>
      </c>
      <c r="R58" s="46">
        <f t="shared" si="0"/>
        <v>-12147</v>
      </c>
      <c r="S58" s="46"/>
      <c r="T58" s="59">
        <f t="shared" si="3"/>
        <v>0</v>
      </c>
      <c r="U58" s="46">
        <f t="shared" si="1"/>
        <v>-12147</v>
      </c>
      <c r="V58" s="46"/>
      <c r="W58" s="46"/>
      <c r="X58" s="46"/>
      <c r="Y58" s="46"/>
      <c r="Z58" s="46"/>
    </row>
    <row r="59" spans="1:26" ht="15.75" customHeight="1" hidden="1" outlineLevel="1">
      <c r="A59" s="41" t="s">
        <v>95</v>
      </c>
      <c r="B59" s="42">
        <v>10000</v>
      </c>
      <c r="C59" s="42">
        <v>0</v>
      </c>
      <c r="D59" s="42">
        <f t="shared" si="7"/>
        <v>-10000</v>
      </c>
      <c r="E59" s="42">
        <v>10000</v>
      </c>
      <c r="F59" s="43" t="s">
        <v>96</v>
      </c>
      <c r="G59" s="42"/>
      <c r="H59" s="42">
        <v>15000</v>
      </c>
      <c r="I59" s="42">
        <v>0</v>
      </c>
      <c r="J59" s="42">
        <v>0</v>
      </c>
      <c r="K59" s="42">
        <v>0</v>
      </c>
      <c r="L59" s="40"/>
      <c r="M59" s="40"/>
      <c r="N59" s="44">
        <v>0</v>
      </c>
      <c r="O59" s="45">
        <v>10000</v>
      </c>
      <c r="P59" s="46">
        <f t="shared" si="8"/>
        <v>10000</v>
      </c>
      <c r="Q59" s="58">
        <v>0</v>
      </c>
      <c r="R59" s="46">
        <f t="shared" si="0"/>
        <v>-10000</v>
      </c>
      <c r="S59" s="46">
        <v>14730</v>
      </c>
      <c r="T59" s="59">
        <f t="shared" si="3"/>
        <v>0</v>
      </c>
      <c r="U59" s="46">
        <f t="shared" si="1"/>
        <v>4730</v>
      </c>
      <c r="V59" s="46"/>
      <c r="W59" s="46"/>
      <c r="X59" s="46"/>
      <c r="Y59" s="46"/>
      <c r="Z59" s="46"/>
    </row>
    <row r="60" spans="1:26" ht="12.75" hidden="1" outlineLevel="1">
      <c r="A60" s="41" t="s">
        <v>97</v>
      </c>
      <c r="B60" s="42">
        <v>79510</v>
      </c>
      <c r="C60" s="42">
        <v>79510.06</v>
      </c>
      <c r="D60" s="42">
        <f t="shared" si="7"/>
        <v>0.059999999997671694</v>
      </c>
      <c r="E60" s="42">
        <v>0</v>
      </c>
      <c r="F60" s="43"/>
      <c r="G60" s="42"/>
      <c r="H60" s="42">
        <v>0</v>
      </c>
      <c r="I60" s="42">
        <v>0</v>
      </c>
      <c r="J60" s="42">
        <v>0</v>
      </c>
      <c r="K60" s="42">
        <v>0</v>
      </c>
      <c r="L60" s="40"/>
      <c r="M60" s="40"/>
      <c r="N60" s="44">
        <v>0</v>
      </c>
      <c r="O60" s="45">
        <v>0</v>
      </c>
      <c r="P60" s="46">
        <f t="shared" si="8"/>
        <v>0</v>
      </c>
      <c r="Q60" s="58">
        <v>14729.7</v>
      </c>
      <c r="R60" s="46">
        <f t="shared" si="0"/>
        <v>14729.7</v>
      </c>
      <c r="S60" s="46">
        <v>0</v>
      </c>
      <c r="T60" s="59">
        <v>0</v>
      </c>
      <c r="U60" s="46">
        <f t="shared" si="1"/>
        <v>0</v>
      </c>
      <c r="V60" s="46"/>
      <c r="W60" s="46"/>
      <c r="X60" s="46"/>
      <c r="Y60" s="46"/>
      <c r="Z60" s="46"/>
    </row>
    <row r="61" spans="1:26" ht="17.25" customHeight="1" hidden="1" outlineLevel="1">
      <c r="A61" s="41" t="s">
        <v>98</v>
      </c>
      <c r="B61" s="42">
        <v>40218</v>
      </c>
      <c r="C61" s="42">
        <v>33212.06</v>
      </c>
      <c r="D61" s="42">
        <f t="shared" si="7"/>
        <v>-7005.940000000002</v>
      </c>
      <c r="E61" s="42">
        <v>7006</v>
      </c>
      <c r="F61" s="43" t="s">
        <v>99</v>
      </c>
      <c r="G61" s="42"/>
      <c r="H61" s="42">
        <v>0</v>
      </c>
      <c r="I61" s="42">
        <v>0</v>
      </c>
      <c r="J61" s="42">
        <v>0</v>
      </c>
      <c r="K61" s="42">
        <v>0</v>
      </c>
      <c r="L61" s="40"/>
      <c r="M61" s="40"/>
      <c r="N61" s="44">
        <v>0</v>
      </c>
      <c r="O61" s="45">
        <v>7006</v>
      </c>
      <c r="P61" s="46">
        <f t="shared" si="8"/>
        <v>7006</v>
      </c>
      <c r="Q61" s="46">
        <v>0</v>
      </c>
      <c r="R61" s="46">
        <f t="shared" si="0"/>
        <v>-7006</v>
      </c>
      <c r="S61" s="46">
        <v>7006</v>
      </c>
      <c r="T61" s="59">
        <f t="shared" si="3"/>
        <v>0</v>
      </c>
      <c r="U61" s="46">
        <f t="shared" si="1"/>
        <v>0</v>
      </c>
      <c r="V61" s="46"/>
      <c r="W61" s="46"/>
      <c r="X61" s="46"/>
      <c r="Y61" s="46"/>
      <c r="Z61" s="46"/>
    </row>
    <row r="62" spans="1:26" ht="12.75" hidden="1" outlineLevel="1">
      <c r="A62" s="41" t="s">
        <v>100</v>
      </c>
      <c r="B62" s="42">
        <v>7586</v>
      </c>
      <c r="C62" s="42">
        <v>7585.87</v>
      </c>
      <c r="D62" s="42">
        <f t="shared" si="7"/>
        <v>-0.13000000000010914</v>
      </c>
      <c r="E62" s="42">
        <v>0</v>
      </c>
      <c r="F62" s="43"/>
      <c r="G62" s="42"/>
      <c r="H62" s="42">
        <v>0</v>
      </c>
      <c r="I62" s="42">
        <v>0</v>
      </c>
      <c r="J62" s="42">
        <v>0</v>
      </c>
      <c r="K62" s="42">
        <v>0</v>
      </c>
      <c r="L62" s="40"/>
      <c r="M62" s="40"/>
      <c r="N62" s="44">
        <v>0</v>
      </c>
      <c r="O62" s="45">
        <v>0</v>
      </c>
      <c r="P62" s="46">
        <f t="shared" si="8"/>
        <v>0</v>
      </c>
      <c r="Q62" s="46">
        <v>0</v>
      </c>
      <c r="R62" s="46">
        <f t="shared" si="0"/>
        <v>0</v>
      </c>
      <c r="S62" s="46">
        <v>0</v>
      </c>
      <c r="T62" s="59">
        <v>0</v>
      </c>
      <c r="U62" s="46">
        <f t="shared" si="1"/>
        <v>0</v>
      </c>
      <c r="V62" s="46"/>
      <c r="W62" s="46"/>
      <c r="X62" s="46"/>
      <c r="Y62" s="46"/>
      <c r="Z62" s="46"/>
    </row>
    <row r="63" spans="1:26" ht="12.75" hidden="1" outlineLevel="1">
      <c r="A63" s="41" t="s">
        <v>101</v>
      </c>
      <c r="B63" s="42">
        <v>3352</v>
      </c>
      <c r="C63" s="42">
        <v>3351.8</v>
      </c>
      <c r="D63" s="42">
        <f t="shared" si="7"/>
        <v>-0.1999999999998181</v>
      </c>
      <c r="E63" s="42">
        <v>0</v>
      </c>
      <c r="F63" s="43"/>
      <c r="G63" s="42"/>
      <c r="H63" s="42">
        <v>36648</v>
      </c>
      <c r="I63" s="42">
        <v>0</v>
      </c>
      <c r="J63" s="42">
        <v>0</v>
      </c>
      <c r="K63" s="42">
        <v>0</v>
      </c>
      <c r="L63" s="40"/>
      <c r="M63" s="40"/>
      <c r="O63" s="45">
        <v>0</v>
      </c>
      <c r="P63" s="46">
        <f t="shared" si="8"/>
        <v>0</v>
      </c>
      <c r="Q63" s="46">
        <v>0</v>
      </c>
      <c r="R63" s="46">
        <f t="shared" si="0"/>
        <v>0</v>
      </c>
      <c r="S63" s="46">
        <v>0</v>
      </c>
      <c r="T63" s="59">
        <v>0</v>
      </c>
      <c r="U63" s="46">
        <f t="shared" si="1"/>
        <v>0</v>
      </c>
      <c r="V63" s="46"/>
      <c r="W63" s="46"/>
      <c r="X63" s="46"/>
      <c r="Y63" s="46"/>
      <c r="Z63" s="46"/>
    </row>
    <row r="64" spans="1:26" ht="13.5" customHeight="1" hidden="1" outlineLevel="1">
      <c r="A64" s="41" t="s">
        <v>102</v>
      </c>
      <c r="B64" s="42">
        <v>30000</v>
      </c>
      <c r="C64" s="42">
        <v>18500</v>
      </c>
      <c r="D64" s="42">
        <f t="shared" si="7"/>
        <v>-11500</v>
      </c>
      <c r="E64" s="42">
        <v>11500</v>
      </c>
      <c r="F64" s="43" t="s">
        <v>103</v>
      </c>
      <c r="G64" s="42"/>
      <c r="H64" s="42">
        <v>0</v>
      </c>
      <c r="I64" s="42">
        <v>0</v>
      </c>
      <c r="J64" s="42">
        <v>0</v>
      </c>
      <c r="K64" s="42">
        <v>0</v>
      </c>
      <c r="L64" s="40"/>
      <c r="M64" s="40"/>
      <c r="O64" s="45">
        <v>11500</v>
      </c>
      <c r="P64" s="46">
        <f t="shared" si="8"/>
        <v>11500</v>
      </c>
      <c r="Q64" s="46">
        <v>0</v>
      </c>
      <c r="R64" s="46">
        <f t="shared" si="0"/>
        <v>-11500</v>
      </c>
      <c r="S64" s="46"/>
      <c r="T64" s="59">
        <f t="shared" si="3"/>
        <v>0</v>
      </c>
      <c r="U64" s="46">
        <f t="shared" si="1"/>
        <v>-11500</v>
      </c>
      <c r="V64" s="46"/>
      <c r="W64" s="46"/>
      <c r="X64" s="46"/>
      <c r="Y64" s="46"/>
      <c r="Z64" s="46"/>
    </row>
    <row r="65" spans="1:26" ht="13.5" customHeight="1" hidden="1" outlineLevel="1">
      <c r="A65" s="41" t="s">
        <v>104</v>
      </c>
      <c r="B65" s="42"/>
      <c r="C65" s="42"/>
      <c r="D65" s="42"/>
      <c r="E65" s="42"/>
      <c r="F65" s="43"/>
      <c r="G65" s="42"/>
      <c r="H65" s="42"/>
      <c r="I65" s="42"/>
      <c r="J65" s="42"/>
      <c r="K65" s="42"/>
      <c r="L65" s="40"/>
      <c r="M65" s="40"/>
      <c r="O65" s="45"/>
      <c r="P65" s="46"/>
      <c r="Q65" s="46"/>
      <c r="R65" s="46"/>
      <c r="S65" s="46">
        <v>82500</v>
      </c>
      <c r="T65" s="59"/>
      <c r="U65" s="46"/>
      <c r="V65" s="46"/>
      <c r="W65" s="46"/>
      <c r="X65" s="46"/>
      <c r="Y65" s="46"/>
      <c r="Z65" s="46"/>
    </row>
    <row r="66" spans="1:26" ht="13.5" customHeight="1" hidden="1" outlineLevel="1">
      <c r="A66" s="41" t="s">
        <v>105</v>
      </c>
      <c r="B66" s="42"/>
      <c r="C66" s="42"/>
      <c r="D66" s="42"/>
      <c r="E66" s="42"/>
      <c r="F66" s="43"/>
      <c r="G66" s="42"/>
      <c r="H66" s="42"/>
      <c r="I66" s="42"/>
      <c r="J66" s="42"/>
      <c r="K66" s="42"/>
      <c r="L66" s="40"/>
      <c r="M66" s="40"/>
      <c r="O66" s="45"/>
      <c r="P66" s="46"/>
      <c r="Q66" s="46"/>
      <c r="R66" s="46"/>
      <c r="S66" s="46">
        <v>50000</v>
      </c>
      <c r="T66" s="59"/>
      <c r="U66" s="46"/>
      <c r="V66" s="46"/>
      <c r="W66" s="46"/>
      <c r="X66" s="46"/>
      <c r="Y66" s="46"/>
      <c r="Z66" s="46"/>
    </row>
    <row r="67" spans="1:26" ht="16.5" customHeight="1" hidden="1" outlineLevel="1">
      <c r="A67" s="41" t="s">
        <v>106</v>
      </c>
      <c r="B67" s="42">
        <v>54476</v>
      </c>
      <c r="C67" s="42">
        <f>53020.06+1438</f>
        <v>54458.06</v>
      </c>
      <c r="D67" s="42">
        <f t="shared" si="7"/>
        <v>-17.94000000000233</v>
      </c>
      <c r="E67" s="42">
        <v>18</v>
      </c>
      <c r="F67" s="43" t="s">
        <v>107</v>
      </c>
      <c r="G67" s="42"/>
      <c r="H67" s="42">
        <v>0</v>
      </c>
      <c r="I67" s="42">
        <v>0</v>
      </c>
      <c r="J67" s="42">
        <v>0</v>
      </c>
      <c r="K67" s="42">
        <v>0</v>
      </c>
      <c r="L67" s="40"/>
      <c r="M67" s="40"/>
      <c r="O67" s="45">
        <v>18</v>
      </c>
      <c r="P67" s="46">
        <f t="shared" si="8"/>
        <v>18</v>
      </c>
      <c r="Q67" s="46">
        <v>0</v>
      </c>
      <c r="R67" s="46">
        <f t="shared" si="0"/>
        <v>-18</v>
      </c>
      <c r="S67" s="46"/>
      <c r="T67" s="59">
        <f t="shared" si="3"/>
        <v>0</v>
      </c>
      <c r="U67" s="46">
        <f t="shared" si="1"/>
        <v>-18</v>
      </c>
      <c r="V67" s="46"/>
      <c r="W67" s="46"/>
      <c r="X67" s="46"/>
      <c r="Y67" s="46"/>
      <c r="Z67" s="46"/>
    </row>
    <row r="68" spans="1:26" ht="12.75" hidden="1" outlineLevel="1">
      <c r="A68" s="41" t="s">
        <v>108</v>
      </c>
      <c r="B68" s="42">
        <v>145000</v>
      </c>
      <c r="C68" s="42">
        <v>145000</v>
      </c>
      <c r="D68" s="42">
        <f t="shared" si="7"/>
        <v>0</v>
      </c>
      <c r="E68" s="42">
        <v>0</v>
      </c>
      <c r="F68" s="43"/>
      <c r="G68" s="42"/>
      <c r="H68" s="42">
        <v>0</v>
      </c>
      <c r="I68" s="42">
        <v>0</v>
      </c>
      <c r="J68" s="42">
        <v>0</v>
      </c>
      <c r="K68" s="42">
        <v>0</v>
      </c>
      <c r="L68" s="40"/>
      <c r="M68" s="40"/>
      <c r="O68" s="45">
        <v>0</v>
      </c>
      <c r="P68" s="46">
        <f t="shared" si="8"/>
        <v>0</v>
      </c>
      <c r="Q68" s="46">
        <v>0</v>
      </c>
      <c r="R68" s="46">
        <f t="shared" si="0"/>
        <v>0</v>
      </c>
      <c r="S68" s="46">
        <v>0</v>
      </c>
      <c r="T68" s="59">
        <v>0</v>
      </c>
      <c r="U68" s="46">
        <f t="shared" si="1"/>
        <v>0</v>
      </c>
      <c r="V68" s="46"/>
      <c r="W68" s="46"/>
      <c r="X68" s="46"/>
      <c r="Y68" s="46"/>
      <c r="Z68" s="46"/>
    </row>
    <row r="69" spans="1:26" ht="15" customHeight="1" outlineLevel="1">
      <c r="A69" s="41" t="s">
        <v>109</v>
      </c>
      <c r="B69" s="42">
        <v>883000</v>
      </c>
      <c r="C69" s="42">
        <v>995571.16</v>
      </c>
      <c r="D69" s="42">
        <f t="shared" si="7"/>
        <v>112571.16000000003</v>
      </c>
      <c r="E69" s="42">
        <v>-112571</v>
      </c>
      <c r="F69" s="43" t="s">
        <v>110</v>
      </c>
      <c r="G69" s="42"/>
      <c r="H69" s="42">
        <v>3823000</v>
      </c>
      <c r="I69" s="42">
        <v>522000</v>
      </c>
      <c r="J69" s="42">
        <v>0</v>
      </c>
      <c r="K69" s="42">
        <v>0</v>
      </c>
      <c r="L69" s="40"/>
      <c r="M69" s="40"/>
      <c r="N69" s="44">
        <v>3553000</v>
      </c>
      <c r="O69" s="45">
        <v>-112571</v>
      </c>
      <c r="P69" s="46">
        <f t="shared" si="8"/>
        <v>3440429</v>
      </c>
      <c r="Q69" s="58">
        <v>973410.89</v>
      </c>
      <c r="R69" s="46">
        <f t="shared" si="0"/>
        <v>-2467018.11</v>
      </c>
      <c r="S69" s="46">
        <v>3440429</v>
      </c>
      <c r="T69" s="59">
        <f t="shared" si="3"/>
        <v>0.2829329976000086</v>
      </c>
      <c r="U69" s="46">
        <f t="shared" si="1"/>
        <v>0</v>
      </c>
      <c r="V69" s="46">
        <v>792000</v>
      </c>
      <c r="W69" s="46"/>
      <c r="X69" s="46"/>
      <c r="Y69" s="46"/>
      <c r="Z69" s="46"/>
    </row>
    <row r="70" spans="1:26" ht="16.5" customHeight="1" hidden="1" outlineLevel="1">
      <c r="A70" s="41" t="s">
        <v>111</v>
      </c>
      <c r="B70" s="42">
        <v>102011</v>
      </c>
      <c r="C70" s="42">
        <v>0</v>
      </c>
      <c r="D70" s="42">
        <f>C70-B70</f>
        <v>-102011</v>
      </c>
      <c r="E70" s="42">
        <v>102011</v>
      </c>
      <c r="F70" s="43" t="s">
        <v>112</v>
      </c>
      <c r="G70" s="42"/>
      <c r="H70" s="42">
        <v>787000</v>
      </c>
      <c r="I70" s="42">
        <v>630000</v>
      </c>
      <c r="J70" s="42">
        <v>700000</v>
      </c>
      <c r="K70" s="42">
        <v>700000</v>
      </c>
      <c r="L70" s="40"/>
      <c r="M70" s="40"/>
      <c r="N70" s="44">
        <v>0</v>
      </c>
      <c r="O70" s="45">
        <v>102011</v>
      </c>
      <c r="P70" s="46">
        <f t="shared" si="8"/>
        <v>102011</v>
      </c>
      <c r="Q70" s="46">
        <v>0</v>
      </c>
      <c r="R70" s="46">
        <f t="shared" si="0"/>
        <v>-102011</v>
      </c>
      <c r="S70" s="46"/>
      <c r="T70" s="59">
        <f t="shared" si="3"/>
        <v>0</v>
      </c>
      <c r="U70" s="46">
        <f t="shared" si="1"/>
        <v>-102011</v>
      </c>
      <c r="V70" s="46"/>
      <c r="W70" s="46"/>
      <c r="X70" s="46"/>
      <c r="Y70" s="46"/>
      <c r="Z70" s="46"/>
    </row>
    <row r="71" spans="1:26" ht="12.75" hidden="1" outlineLevel="1">
      <c r="A71" s="41" t="s">
        <v>113</v>
      </c>
      <c r="B71" s="42">
        <v>2352</v>
      </c>
      <c r="C71" s="42">
        <v>2352</v>
      </c>
      <c r="D71" s="42">
        <f t="shared" si="7"/>
        <v>0</v>
      </c>
      <c r="E71" s="42">
        <v>0</v>
      </c>
      <c r="F71" s="43"/>
      <c r="G71" s="42"/>
      <c r="H71" s="42">
        <v>62648</v>
      </c>
      <c r="I71" s="42">
        <v>0</v>
      </c>
      <c r="J71" s="42">
        <v>0</v>
      </c>
      <c r="K71" s="42">
        <v>0</v>
      </c>
      <c r="L71" s="40"/>
      <c r="M71" s="40"/>
      <c r="O71" s="45">
        <v>0</v>
      </c>
      <c r="P71" s="46">
        <f t="shared" si="8"/>
        <v>0</v>
      </c>
      <c r="Q71" s="46">
        <v>0</v>
      </c>
      <c r="R71" s="46">
        <f t="shared" si="0"/>
        <v>0</v>
      </c>
      <c r="S71" s="46">
        <v>65000</v>
      </c>
      <c r="T71" s="59">
        <v>0</v>
      </c>
      <c r="U71" s="46">
        <f t="shared" si="1"/>
        <v>65000</v>
      </c>
      <c r="V71" s="46"/>
      <c r="W71" s="46"/>
      <c r="X71" s="46"/>
      <c r="Y71" s="46"/>
      <c r="Z71" s="46"/>
    </row>
    <row r="72" spans="1:26" ht="18" customHeight="1" hidden="1" outlineLevel="1">
      <c r="A72" s="41" t="s">
        <v>114</v>
      </c>
      <c r="B72" s="42">
        <v>10000</v>
      </c>
      <c r="C72" s="42">
        <v>0</v>
      </c>
      <c r="D72" s="42">
        <f>C72-B72</f>
        <v>-10000</v>
      </c>
      <c r="E72" s="42">
        <v>10000</v>
      </c>
      <c r="F72" s="43" t="s">
        <v>96</v>
      </c>
      <c r="G72" s="42"/>
      <c r="H72" s="42">
        <v>60000</v>
      </c>
      <c r="I72" s="42">
        <v>0</v>
      </c>
      <c r="J72" s="42">
        <v>0</v>
      </c>
      <c r="K72" s="42">
        <v>0</v>
      </c>
      <c r="L72" s="40"/>
      <c r="M72" s="40"/>
      <c r="N72" s="44">
        <v>35000</v>
      </c>
      <c r="O72" s="45">
        <v>10000</v>
      </c>
      <c r="P72" s="46">
        <f t="shared" si="8"/>
        <v>45000</v>
      </c>
      <c r="Q72" s="46">
        <v>0</v>
      </c>
      <c r="R72" s="46">
        <f t="shared" si="0"/>
        <v>-45000</v>
      </c>
      <c r="S72" s="46">
        <v>5000</v>
      </c>
      <c r="T72" s="59">
        <f t="shared" si="3"/>
        <v>0</v>
      </c>
      <c r="U72" s="46">
        <f t="shared" si="1"/>
        <v>-40000</v>
      </c>
      <c r="V72" s="46"/>
      <c r="W72" s="46"/>
      <c r="X72" s="46"/>
      <c r="Y72" s="46"/>
      <c r="Z72" s="46"/>
    </row>
    <row r="73" spans="1:26" ht="18" customHeight="1" hidden="1" outlineLevel="1">
      <c r="A73" s="41" t="s">
        <v>115</v>
      </c>
      <c r="B73" s="67">
        <v>30000</v>
      </c>
      <c r="C73" s="72">
        <v>1810</v>
      </c>
      <c r="D73" s="42">
        <f>C73-B73</f>
        <v>-28190</v>
      </c>
      <c r="E73" s="68">
        <v>28190</v>
      </c>
      <c r="F73" s="73" t="s">
        <v>96</v>
      </c>
      <c r="G73" s="42"/>
      <c r="H73" s="42">
        <v>0</v>
      </c>
      <c r="I73" s="42">
        <v>0</v>
      </c>
      <c r="J73" s="42">
        <v>0</v>
      </c>
      <c r="K73" s="42">
        <v>0</v>
      </c>
      <c r="L73" s="40"/>
      <c r="M73" s="40"/>
      <c r="N73" s="44">
        <v>0</v>
      </c>
      <c r="O73" s="45">
        <v>28190</v>
      </c>
      <c r="P73" s="46">
        <f t="shared" si="8"/>
        <v>28190</v>
      </c>
      <c r="Q73" s="46">
        <v>0</v>
      </c>
      <c r="R73" s="46">
        <f aca="true" t="shared" si="9" ref="R73:R135">+Q73-P73</f>
        <v>-28190</v>
      </c>
      <c r="S73" s="46">
        <v>28190</v>
      </c>
      <c r="T73" s="59">
        <f t="shared" si="3"/>
        <v>0</v>
      </c>
      <c r="U73" s="46">
        <f t="shared" si="1"/>
        <v>0</v>
      </c>
      <c r="V73" s="46"/>
      <c r="W73" s="46"/>
      <c r="X73" s="46"/>
      <c r="Y73" s="46"/>
      <c r="Z73" s="46"/>
    </row>
    <row r="74" spans="1:26" ht="15.75" customHeight="1" hidden="1" outlineLevel="1">
      <c r="A74" s="41" t="s">
        <v>116</v>
      </c>
      <c r="B74" s="67">
        <v>5000</v>
      </c>
      <c r="C74" s="72">
        <v>0</v>
      </c>
      <c r="D74" s="42">
        <f>C74-B74</f>
        <v>-5000</v>
      </c>
      <c r="E74" s="68">
        <v>5000</v>
      </c>
      <c r="F74" s="73" t="s">
        <v>96</v>
      </c>
      <c r="G74" s="42"/>
      <c r="H74" s="42">
        <v>0</v>
      </c>
      <c r="I74" s="42">
        <v>0</v>
      </c>
      <c r="J74" s="42">
        <v>0</v>
      </c>
      <c r="K74" s="42">
        <v>0</v>
      </c>
      <c r="L74" s="40"/>
      <c r="M74" s="40"/>
      <c r="N74" s="44">
        <v>0</v>
      </c>
      <c r="O74" s="45">
        <v>5000</v>
      </c>
      <c r="P74" s="46">
        <f t="shared" si="8"/>
        <v>5000</v>
      </c>
      <c r="Q74" s="46">
        <v>0</v>
      </c>
      <c r="R74" s="46">
        <f t="shared" si="9"/>
        <v>-5000</v>
      </c>
      <c r="S74" s="46">
        <v>5000</v>
      </c>
      <c r="T74" s="59">
        <f t="shared" si="3"/>
        <v>0</v>
      </c>
      <c r="U74" s="46">
        <f t="shared" si="1"/>
        <v>0</v>
      </c>
      <c r="V74" s="46"/>
      <c r="W74" s="46"/>
      <c r="X74" s="46"/>
      <c r="Y74" s="46"/>
      <c r="Z74" s="46"/>
    </row>
    <row r="75" spans="1:26" ht="12.75" hidden="1" outlineLevel="1">
      <c r="A75" s="41" t="s">
        <v>117</v>
      </c>
      <c r="B75" s="67">
        <v>1216</v>
      </c>
      <c r="C75" s="72">
        <v>1216.45</v>
      </c>
      <c r="D75" s="42">
        <f>C75-B75</f>
        <v>0.4500000000000455</v>
      </c>
      <c r="E75" s="42">
        <v>0</v>
      </c>
      <c r="F75" s="43"/>
      <c r="G75" s="42"/>
      <c r="H75" s="69">
        <v>23784</v>
      </c>
      <c r="I75" s="42">
        <v>0</v>
      </c>
      <c r="J75" s="42">
        <v>0</v>
      </c>
      <c r="K75" s="42">
        <v>0</v>
      </c>
      <c r="L75" s="40"/>
      <c r="M75" s="40"/>
      <c r="N75" s="44">
        <v>0</v>
      </c>
      <c r="O75" s="45">
        <v>0</v>
      </c>
      <c r="P75" s="46">
        <f t="shared" si="8"/>
        <v>0</v>
      </c>
      <c r="Q75" s="46">
        <v>0</v>
      </c>
      <c r="R75" s="46">
        <f t="shared" si="9"/>
        <v>0</v>
      </c>
      <c r="S75" s="46">
        <v>0</v>
      </c>
      <c r="T75" s="59">
        <v>0</v>
      </c>
      <c r="U75" s="46">
        <f t="shared" si="1"/>
        <v>0</v>
      </c>
      <c r="V75" s="46"/>
      <c r="W75" s="46"/>
      <c r="X75" s="46"/>
      <c r="Y75" s="46"/>
      <c r="Z75" s="46"/>
    </row>
    <row r="76" spans="1:26" ht="12.75" hidden="1" outlineLevel="1">
      <c r="A76" s="41" t="s">
        <v>118</v>
      </c>
      <c r="B76" s="67"/>
      <c r="C76" s="72"/>
      <c r="D76" s="42"/>
      <c r="E76" s="42">
        <v>0</v>
      </c>
      <c r="F76" s="43"/>
      <c r="G76" s="42"/>
      <c r="H76" s="69"/>
      <c r="I76" s="42"/>
      <c r="J76" s="42"/>
      <c r="K76" s="42"/>
      <c r="L76" s="40"/>
      <c r="M76" s="40"/>
      <c r="N76" s="44">
        <v>10000</v>
      </c>
      <c r="O76" s="45">
        <v>0</v>
      </c>
      <c r="P76" s="46">
        <f t="shared" si="8"/>
        <v>10000</v>
      </c>
      <c r="Q76" s="46">
        <v>0</v>
      </c>
      <c r="R76" s="46">
        <f t="shared" si="9"/>
        <v>-10000</v>
      </c>
      <c r="S76" s="46">
        <v>10000</v>
      </c>
      <c r="T76" s="59">
        <f t="shared" si="3"/>
        <v>0</v>
      </c>
      <c r="U76" s="46">
        <f t="shared" si="1"/>
        <v>0</v>
      </c>
      <c r="V76" s="46"/>
      <c r="W76" s="46"/>
      <c r="X76" s="46"/>
      <c r="Y76" s="46"/>
      <c r="Z76" s="46"/>
    </row>
    <row r="77" spans="1:26" ht="12.75" hidden="1" outlineLevel="1">
      <c r="A77" s="41" t="s">
        <v>119</v>
      </c>
      <c r="B77" s="67"/>
      <c r="C77" s="72"/>
      <c r="D77" s="42"/>
      <c r="E77" s="42">
        <v>0</v>
      </c>
      <c r="F77" s="43"/>
      <c r="G77" s="42"/>
      <c r="H77" s="69"/>
      <c r="I77" s="42"/>
      <c r="J77" s="42"/>
      <c r="K77" s="42"/>
      <c r="L77" s="40"/>
      <c r="M77" s="40"/>
      <c r="N77" s="44">
        <v>25000</v>
      </c>
      <c r="O77" s="45">
        <v>0</v>
      </c>
      <c r="P77" s="46">
        <f t="shared" si="8"/>
        <v>25000</v>
      </c>
      <c r="Q77" s="46">
        <v>0</v>
      </c>
      <c r="R77" s="46">
        <f t="shared" si="9"/>
        <v>-25000</v>
      </c>
      <c r="S77" s="46"/>
      <c r="T77" s="59">
        <f t="shared" si="3"/>
        <v>0</v>
      </c>
      <c r="U77" s="46">
        <f t="shared" si="1"/>
        <v>-25000</v>
      </c>
      <c r="V77" s="46"/>
      <c r="W77" s="46"/>
      <c r="X77" s="46"/>
      <c r="Y77" s="46"/>
      <c r="Z77" s="46"/>
    </row>
    <row r="78" spans="1:26" ht="15.75" customHeight="1" hidden="1" outlineLevel="1">
      <c r="A78" s="41" t="s">
        <v>120</v>
      </c>
      <c r="B78" s="42">
        <v>130000</v>
      </c>
      <c r="C78" s="42">
        <v>0</v>
      </c>
      <c r="D78" s="42">
        <f>C78-B78</f>
        <v>-130000</v>
      </c>
      <c r="E78" s="42">
        <v>130000</v>
      </c>
      <c r="F78" s="43" t="s">
        <v>107</v>
      </c>
      <c r="G78" s="42"/>
      <c r="H78" s="42">
        <v>0</v>
      </c>
      <c r="I78" s="42">
        <v>0</v>
      </c>
      <c r="J78" s="42">
        <v>0</v>
      </c>
      <c r="K78" s="42">
        <v>0</v>
      </c>
      <c r="L78" s="40"/>
      <c r="M78" s="40"/>
      <c r="O78" s="45">
        <v>130000</v>
      </c>
      <c r="P78" s="46">
        <f t="shared" si="8"/>
        <v>130000</v>
      </c>
      <c r="Q78" s="46">
        <v>0</v>
      </c>
      <c r="R78" s="46">
        <f t="shared" si="9"/>
        <v>-130000</v>
      </c>
      <c r="S78" s="46">
        <v>130000</v>
      </c>
      <c r="T78" s="59">
        <f t="shared" si="3"/>
        <v>0</v>
      </c>
      <c r="U78" s="46">
        <f aca="true" t="shared" si="10" ref="U78:U156">+S78-P78</f>
        <v>0</v>
      </c>
      <c r="V78" s="46"/>
      <c r="W78" s="46"/>
      <c r="X78" s="46"/>
      <c r="Y78" s="46"/>
      <c r="Z78" s="46"/>
    </row>
    <row r="79" spans="1:26" ht="12.75" hidden="1" outlineLevel="1">
      <c r="A79" s="41" t="s">
        <v>121</v>
      </c>
      <c r="B79" s="67"/>
      <c r="C79" s="72"/>
      <c r="D79" s="42"/>
      <c r="E79" s="42">
        <v>0</v>
      </c>
      <c r="F79" s="43"/>
      <c r="G79" s="42"/>
      <c r="H79" s="69"/>
      <c r="I79" s="42"/>
      <c r="J79" s="42"/>
      <c r="K79" s="42"/>
      <c r="L79" s="40"/>
      <c r="M79" s="40"/>
      <c r="N79" s="44">
        <v>35000</v>
      </c>
      <c r="O79" s="45">
        <v>0</v>
      </c>
      <c r="P79" s="46">
        <f t="shared" si="8"/>
        <v>35000</v>
      </c>
      <c r="Q79" s="46">
        <v>0</v>
      </c>
      <c r="R79" s="46">
        <f t="shared" si="9"/>
        <v>-35000</v>
      </c>
      <c r="S79" s="46">
        <v>35000</v>
      </c>
      <c r="T79" s="59">
        <f>Q79/P79</f>
        <v>0</v>
      </c>
      <c r="U79" s="46">
        <f t="shared" si="10"/>
        <v>0</v>
      </c>
      <c r="V79" s="46"/>
      <c r="W79" s="46"/>
      <c r="X79" s="46"/>
      <c r="Y79" s="46"/>
      <c r="Z79" s="46"/>
    </row>
    <row r="80" spans="1:26" ht="12.75" outlineLevel="1">
      <c r="A80" s="41" t="s">
        <v>122</v>
      </c>
      <c r="B80" s="67"/>
      <c r="C80" s="72"/>
      <c r="D80" s="42"/>
      <c r="E80" s="42">
        <v>0</v>
      </c>
      <c r="F80" s="43"/>
      <c r="G80" s="42"/>
      <c r="H80" s="69"/>
      <c r="I80" s="42"/>
      <c r="J80" s="42"/>
      <c r="K80" s="42"/>
      <c r="L80" s="40"/>
      <c r="M80" s="40"/>
      <c r="N80" s="44">
        <v>1000000</v>
      </c>
      <c r="O80" s="45">
        <v>0</v>
      </c>
      <c r="P80" s="46">
        <f t="shared" si="8"/>
        <v>1000000</v>
      </c>
      <c r="Q80" s="46">
        <v>0</v>
      </c>
      <c r="R80" s="46">
        <f t="shared" si="9"/>
        <v>-1000000</v>
      </c>
      <c r="S80" s="46"/>
      <c r="T80" s="59">
        <f>Q80/P80</f>
        <v>0</v>
      </c>
      <c r="U80" s="46">
        <f t="shared" si="10"/>
        <v>-1000000</v>
      </c>
      <c r="V80" s="46">
        <v>2011000</v>
      </c>
      <c r="W80" s="46">
        <v>1400000</v>
      </c>
      <c r="X80" s="46">
        <v>1400000</v>
      </c>
      <c r="Y80" s="46">
        <v>600000</v>
      </c>
      <c r="Z80" s="46">
        <v>600000</v>
      </c>
    </row>
    <row r="81" spans="1:26" ht="12.75" hidden="1" outlineLevel="1">
      <c r="A81" s="41" t="s">
        <v>123</v>
      </c>
      <c r="B81" s="67"/>
      <c r="C81" s="72"/>
      <c r="D81" s="42"/>
      <c r="E81" s="42">
        <v>0</v>
      </c>
      <c r="F81" s="43"/>
      <c r="G81" s="42"/>
      <c r="H81" s="69"/>
      <c r="I81" s="42"/>
      <c r="J81" s="42"/>
      <c r="K81" s="42"/>
      <c r="L81" s="40"/>
      <c r="M81" s="40"/>
      <c r="N81" s="44">
        <v>85000</v>
      </c>
      <c r="O81" s="45">
        <v>0</v>
      </c>
      <c r="P81" s="46">
        <f t="shared" si="8"/>
        <v>85000</v>
      </c>
      <c r="Q81" s="46">
        <v>0</v>
      </c>
      <c r="R81" s="46">
        <f t="shared" si="9"/>
        <v>-85000</v>
      </c>
      <c r="S81" s="46">
        <v>85000</v>
      </c>
      <c r="T81" s="59">
        <f>Q81/P81</f>
        <v>0</v>
      </c>
      <c r="U81" s="46">
        <f t="shared" si="10"/>
        <v>0</v>
      </c>
      <c r="V81" s="46"/>
      <c r="W81" s="46"/>
      <c r="X81" s="46"/>
      <c r="Y81" s="46"/>
      <c r="Z81" s="46"/>
    </row>
    <row r="82" spans="1:26" ht="12.75" outlineLevel="1">
      <c r="A82" s="41" t="s">
        <v>124</v>
      </c>
      <c r="B82" s="67"/>
      <c r="C82" s="72"/>
      <c r="D82" s="42"/>
      <c r="E82" s="42">
        <v>0</v>
      </c>
      <c r="F82" s="43"/>
      <c r="G82" s="42"/>
      <c r="H82" s="69"/>
      <c r="I82" s="42"/>
      <c r="J82" s="42"/>
      <c r="K82" s="42"/>
      <c r="L82" s="40"/>
      <c r="M82" s="40"/>
      <c r="N82" s="44">
        <v>30000</v>
      </c>
      <c r="O82" s="45">
        <v>0</v>
      </c>
      <c r="P82" s="46">
        <f t="shared" si="8"/>
        <v>30000</v>
      </c>
      <c r="Q82" s="46">
        <v>0</v>
      </c>
      <c r="R82" s="46">
        <f t="shared" si="9"/>
        <v>-30000</v>
      </c>
      <c r="S82" s="46">
        <v>30000</v>
      </c>
      <c r="T82" s="59">
        <f>Q82/P82</f>
        <v>0</v>
      </c>
      <c r="U82" s="46">
        <f t="shared" si="10"/>
        <v>0</v>
      </c>
      <c r="V82" s="46">
        <v>85000</v>
      </c>
      <c r="W82" s="46"/>
      <c r="X82" s="46"/>
      <c r="Y82" s="46"/>
      <c r="Z82" s="46"/>
    </row>
    <row r="83" spans="1:26" ht="12.75" hidden="1" outlineLevel="1">
      <c r="A83" s="41" t="s">
        <v>125</v>
      </c>
      <c r="B83" s="67"/>
      <c r="C83" s="72"/>
      <c r="D83" s="42"/>
      <c r="E83" s="42"/>
      <c r="F83" s="43"/>
      <c r="G83" s="42"/>
      <c r="H83" s="69"/>
      <c r="I83" s="42"/>
      <c r="J83" s="42"/>
      <c r="K83" s="42"/>
      <c r="L83" s="40"/>
      <c r="M83" s="40"/>
      <c r="O83" s="45"/>
      <c r="P83" s="46"/>
      <c r="Q83" s="46"/>
      <c r="R83" s="46"/>
      <c r="S83" s="46">
        <v>70000</v>
      </c>
      <c r="T83" s="59"/>
      <c r="U83" s="46"/>
      <c r="V83" s="46"/>
      <c r="W83" s="46"/>
      <c r="X83" s="46"/>
      <c r="Y83" s="46"/>
      <c r="Z83" s="46"/>
    </row>
    <row r="84" spans="1:26" ht="12.75" hidden="1" outlineLevel="1">
      <c r="A84" s="41" t="s">
        <v>126</v>
      </c>
      <c r="B84" s="67"/>
      <c r="C84" s="72"/>
      <c r="D84" s="42"/>
      <c r="E84" s="42"/>
      <c r="F84" s="43"/>
      <c r="G84" s="42"/>
      <c r="H84" s="69"/>
      <c r="I84" s="42"/>
      <c r="J84" s="42"/>
      <c r="K84" s="42"/>
      <c r="L84" s="40"/>
      <c r="M84" s="40"/>
      <c r="O84" s="45"/>
      <c r="P84" s="46"/>
      <c r="Q84" s="46"/>
      <c r="R84" s="46"/>
      <c r="S84" s="46">
        <v>2500</v>
      </c>
      <c r="T84" s="59"/>
      <c r="U84" s="46"/>
      <c r="V84" s="46"/>
      <c r="W84" s="46"/>
      <c r="X84" s="46"/>
      <c r="Y84" s="46"/>
      <c r="Z84" s="46"/>
    </row>
    <row r="85" spans="1:26" ht="12.75" hidden="1" outlineLevel="1">
      <c r="A85" s="41" t="s">
        <v>127</v>
      </c>
      <c r="B85" s="67"/>
      <c r="C85" s="72"/>
      <c r="D85" s="42"/>
      <c r="E85" s="42"/>
      <c r="F85" s="43"/>
      <c r="G85" s="42"/>
      <c r="H85" s="69"/>
      <c r="I85" s="42"/>
      <c r="J85" s="42"/>
      <c r="K85" s="42"/>
      <c r="L85" s="40"/>
      <c r="M85" s="40"/>
      <c r="O85" s="45"/>
      <c r="P85" s="46"/>
      <c r="Q85" s="46"/>
      <c r="R85" s="46"/>
      <c r="S85" s="46">
        <v>20000</v>
      </c>
      <c r="T85" s="59"/>
      <c r="U85" s="46"/>
      <c r="V85" s="46"/>
      <c r="W85" s="46"/>
      <c r="X85" s="46"/>
      <c r="Y85" s="46"/>
      <c r="Z85" s="46"/>
    </row>
    <row r="86" spans="1:26" ht="12.75" hidden="1" outlineLevel="1">
      <c r="A86" s="41" t="s">
        <v>128</v>
      </c>
      <c r="B86" s="67"/>
      <c r="C86" s="72"/>
      <c r="D86" s="42"/>
      <c r="E86" s="42"/>
      <c r="F86" s="43"/>
      <c r="G86" s="42"/>
      <c r="H86" s="69"/>
      <c r="I86" s="42"/>
      <c r="J86" s="42"/>
      <c r="K86" s="42"/>
      <c r="L86" s="40"/>
      <c r="M86" s="40"/>
      <c r="O86" s="45"/>
      <c r="P86" s="46"/>
      <c r="Q86" s="46"/>
      <c r="R86" s="46"/>
      <c r="S86" s="46">
        <v>4500</v>
      </c>
      <c r="T86" s="59"/>
      <c r="U86" s="46"/>
      <c r="V86" s="46"/>
      <c r="W86" s="46"/>
      <c r="X86" s="46"/>
      <c r="Y86" s="46"/>
      <c r="Z86" s="46"/>
    </row>
    <row r="87" spans="1:26" ht="12.75" hidden="1" outlineLevel="1">
      <c r="A87" s="41" t="s">
        <v>129</v>
      </c>
      <c r="B87" s="67"/>
      <c r="C87" s="72"/>
      <c r="D87" s="42"/>
      <c r="E87" s="42"/>
      <c r="F87" s="43"/>
      <c r="G87" s="42"/>
      <c r="H87" s="69"/>
      <c r="I87" s="42"/>
      <c r="J87" s="42"/>
      <c r="K87" s="42"/>
      <c r="L87" s="40"/>
      <c r="M87" s="40"/>
      <c r="O87" s="45"/>
      <c r="P87" s="46"/>
      <c r="Q87" s="46"/>
      <c r="R87" s="46"/>
      <c r="S87" s="46">
        <v>65000</v>
      </c>
      <c r="T87" s="59"/>
      <c r="U87" s="46"/>
      <c r="V87" s="46"/>
      <c r="W87" s="46"/>
      <c r="X87" s="46"/>
      <c r="Y87" s="46"/>
      <c r="Z87" s="46"/>
    </row>
    <row r="88" spans="1:26" ht="12.75" hidden="1" outlineLevel="1">
      <c r="A88" s="41" t="s">
        <v>130</v>
      </c>
      <c r="B88" s="67"/>
      <c r="C88" s="72"/>
      <c r="D88" s="42"/>
      <c r="E88" s="42"/>
      <c r="F88" s="43"/>
      <c r="G88" s="42"/>
      <c r="H88" s="69"/>
      <c r="I88" s="42"/>
      <c r="J88" s="42"/>
      <c r="K88" s="42"/>
      <c r="L88" s="40"/>
      <c r="M88" s="40"/>
      <c r="O88" s="45"/>
      <c r="P88" s="46"/>
      <c r="Q88" s="46"/>
      <c r="R88" s="46"/>
      <c r="S88" s="46">
        <v>55000</v>
      </c>
      <c r="T88" s="59"/>
      <c r="U88" s="46"/>
      <c r="V88" s="46"/>
      <c r="W88" s="46"/>
      <c r="X88" s="46"/>
      <c r="Y88" s="46"/>
      <c r="Z88" s="46"/>
    </row>
    <row r="89" spans="1:26" ht="12.75" hidden="1" outlineLevel="1">
      <c r="A89" s="41" t="s">
        <v>131</v>
      </c>
      <c r="B89" s="67"/>
      <c r="C89" s="72"/>
      <c r="D89" s="42"/>
      <c r="E89" s="42"/>
      <c r="F89" s="43"/>
      <c r="G89" s="42"/>
      <c r="H89" s="69"/>
      <c r="I89" s="42"/>
      <c r="J89" s="42"/>
      <c r="K89" s="42"/>
      <c r="L89" s="40"/>
      <c r="M89" s="40"/>
      <c r="O89" s="45"/>
      <c r="P89" s="46"/>
      <c r="Q89" s="46"/>
      <c r="R89" s="46"/>
      <c r="S89" s="46">
        <v>5000</v>
      </c>
      <c r="T89" s="59"/>
      <c r="U89" s="46"/>
      <c r="V89" s="46"/>
      <c r="W89" s="46"/>
      <c r="X89" s="46"/>
      <c r="Y89" s="46"/>
      <c r="Z89" s="46"/>
    </row>
    <row r="90" spans="1:26" ht="12.75" hidden="1" outlineLevel="1">
      <c r="A90" s="41" t="s">
        <v>132</v>
      </c>
      <c r="B90" s="67"/>
      <c r="C90" s="72"/>
      <c r="D90" s="42"/>
      <c r="E90" s="42"/>
      <c r="F90" s="43"/>
      <c r="G90" s="42"/>
      <c r="H90" s="69"/>
      <c r="I90" s="42"/>
      <c r="J90" s="42"/>
      <c r="K90" s="42"/>
      <c r="L90" s="40"/>
      <c r="M90" s="40"/>
      <c r="O90" s="45"/>
      <c r="P90" s="46"/>
      <c r="Q90" s="46"/>
      <c r="R90" s="46"/>
      <c r="S90" s="46">
        <v>100000</v>
      </c>
      <c r="T90" s="59"/>
      <c r="U90" s="46"/>
      <c r="V90" s="46"/>
      <c r="W90" s="46"/>
      <c r="X90" s="46"/>
      <c r="Y90" s="46"/>
      <c r="Z90" s="46"/>
    </row>
    <row r="91" spans="1:26" ht="12.75" hidden="1" outlineLevel="1">
      <c r="A91" s="41" t="s">
        <v>133</v>
      </c>
      <c r="B91" s="67"/>
      <c r="C91" s="72"/>
      <c r="D91" s="42"/>
      <c r="E91" s="42"/>
      <c r="F91" s="43"/>
      <c r="G91" s="42"/>
      <c r="H91" s="69"/>
      <c r="I91" s="42"/>
      <c r="J91" s="42"/>
      <c r="K91" s="42"/>
      <c r="L91" s="40"/>
      <c r="M91" s="40"/>
      <c r="O91" s="45"/>
      <c r="P91" s="46"/>
      <c r="Q91" s="46"/>
      <c r="R91" s="46"/>
      <c r="S91" s="46">
        <v>216810</v>
      </c>
      <c r="T91" s="59"/>
      <c r="U91" s="46"/>
      <c r="V91" s="46"/>
      <c r="W91" s="46"/>
      <c r="X91" s="46"/>
      <c r="Y91" s="46"/>
      <c r="Z91" s="46"/>
    </row>
    <row r="92" spans="1:26" ht="12.75" hidden="1" outlineLevel="1">
      <c r="A92" s="41" t="s">
        <v>134</v>
      </c>
      <c r="B92" s="67"/>
      <c r="C92" s="72"/>
      <c r="D92" s="42"/>
      <c r="E92" s="42">
        <v>0</v>
      </c>
      <c r="F92" s="43"/>
      <c r="G92" s="42"/>
      <c r="H92" s="69"/>
      <c r="I92" s="42"/>
      <c r="J92" s="42"/>
      <c r="K92" s="42"/>
      <c r="L92" s="40"/>
      <c r="M92" s="40"/>
      <c r="N92" s="44">
        <v>57000</v>
      </c>
      <c r="O92" s="45">
        <v>0</v>
      </c>
      <c r="P92" s="46">
        <f t="shared" si="8"/>
        <v>57000</v>
      </c>
      <c r="Q92" s="46">
        <v>0</v>
      </c>
      <c r="R92" s="46">
        <f t="shared" si="9"/>
        <v>-57000</v>
      </c>
      <c r="S92" s="46"/>
      <c r="T92" s="59">
        <f>Q92/P92</f>
        <v>0</v>
      </c>
      <c r="U92" s="46">
        <f t="shared" si="10"/>
        <v>-57000</v>
      </c>
      <c r="V92" s="46"/>
      <c r="W92" s="46"/>
      <c r="X92" s="46"/>
      <c r="Y92" s="46"/>
      <c r="Z92" s="46"/>
    </row>
    <row r="93" spans="1:26" ht="12.75" hidden="1" outlineLevel="1">
      <c r="A93" s="41" t="s">
        <v>135</v>
      </c>
      <c r="B93" s="67"/>
      <c r="C93" s="72"/>
      <c r="D93" s="42"/>
      <c r="E93" s="42">
        <v>0</v>
      </c>
      <c r="F93" s="43"/>
      <c r="G93" s="42"/>
      <c r="H93" s="69"/>
      <c r="I93" s="42"/>
      <c r="J93" s="42"/>
      <c r="K93" s="42"/>
      <c r="L93" s="40"/>
      <c r="M93" s="40"/>
      <c r="N93" s="44">
        <v>110000</v>
      </c>
      <c r="O93" s="45">
        <v>0</v>
      </c>
      <c r="P93" s="46">
        <f t="shared" si="8"/>
        <v>110000</v>
      </c>
      <c r="Q93" s="58">
        <v>16151</v>
      </c>
      <c r="R93" s="46">
        <f t="shared" si="9"/>
        <v>-93849</v>
      </c>
      <c r="S93" s="46">
        <v>110000</v>
      </c>
      <c r="T93" s="59">
        <f>Q93/P93</f>
        <v>0.14682727272727272</v>
      </c>
      <c r="U93" s="46">
        <f t="shared" si="10"/>
        <v>0</v>
      </c>
      <c r="V93" s="46"/>
      <c r="W93" s="46"/>
      <c r="X93" s="46"/>
      <c r="Y93" s="46"/>
      <c r="Z93" s="46"/>
    </row>
    <row r="94" spans="1:26" ht="13.5" outlineLevel="1" thickBot="1">
      <c r="A94" s="41" t="s">
        <v>136</v>
      </c>
      <c r="B94" s="67"/>
      <c r="C94" s="72"/>
      <c r="D94" s="42"/>
      <c r="E94" s="42">
        <v>0</v>
      </c>
      <c r="F94" s="43"/>
      <c r="G94" s="42"/>
      <c r="H94" s="69"/>
      <c r="I94" s="42"/>
      <c r="J94" s="42"/>
      <c r="K94" s="42"/>
      <c r="L94" s="40"/>
      <c r="M94" s="40"/>
      <c r="N94" s="44">
        <v>425000</v>
      </c>
      <c r="O94" s="45">
        <v>0</v>
      </c>
      <c r="P94" s="46">
        <f t="shared" si="8"/>
        <v>425000</v>
      </c>
      <c r="Q94" s="46">
        <v>0</v>
      </c>
      <c r="R94" s="46">
        <f t="shared" si="9"/>
        <v>-425000</v>
      </c>
      <c r="S94" s="46">
        <v>425000</v>
      </c>
      <c r="T94" s="59">
        <f>Q94/P94</f>
        <v>0</v>
      </c>
      <c r="U94" s="46">
        <f t="shared" si="10"/>
        <v>0</v>
      </c>
      <c r="V94" s="46">
        <v>245000</v>
      </c>
      <c r="W94" s="46">
        <v>110000</v>
      </c>
      <c r="X94" s="46">
        <v>66000</v>
      </c>
      <c r="Y94" s="46"/>
      <c r="Z94" s="46"/>
    </row>
    <row r="95" spans="1:26" ht="15.75" customHeight="1" hidden="1" outlineLevel="1" thickBot="1">
      <c r="A95" s="41" t="s">
        <v>137</v>
      </c>
      <c r="B95" s="42">
        <v>130000</v>
      </c>
      <c r="C95" s="42">
        <v>0</v>
      </c>
      <c r="D95" s="42">
        <f>C95-B95</f>
        <v>-130000</v>
      </c>
      <c r="E95" s="42">
        <v>0</v>
      </c>
      <c r="F95" s="43" t="s">
        <v>107</v>
      </c>
      <c r="G95" s="42"/>
      <c r="H95" s="42">
        <v>0</v>
      </c>
      <c r="I95" s="42">
        <v>0</v>
      </c>
      <c r="J95" s="42">
        <v>0</v>
      </c>
      <c r="K95" s="42">
        <v>0</v>
      </c>
      <c r="L95" s="40"/>
      <c r="M95" s="40"/>
      <c r="N95" s="44">
        <v>60000</v>
      </c>
      <c r="O95" s="45">
        <v>0</v>
      </c>
      <c r="P95" s="46">
        <f t="shared" si="8"/>
        <v>60000</v>
      </c>
      <c r="Q95" s="46">
        <v>0</v>
      </c>
      <c r="R95" s="46">
        <f t="shared" si="9"/>
        <v>-60000</v>
      </c>
      <c r="S95" s="46">
        <v>60000</v>
      </c>
      <c r="T95" s="60">
        <f>Q95/P95</f>
        <v>0</v>
      </c>
      <c r="U95" s="46">
        <f t="shared" si="10"/>
        <v>0</v>
      </c>
      <c r="V95" s="46"/>
      <c r="W95" s="46"/>
      <c r="X95" s="46"/>
      <c r="Y95" s="46"/>
      <c r="Z95" s="46"/>
    </row>
    <row r="96" spans="1:26" ht="15.75" customHeight="1" hidden="1" outlineLevel="1" thickBot="1">
      <c r="A96" s="74" t="s">
        <v>138</v>
      </c>
      <c r="B96" s="42"/>
      <c r="C96" s="42"/>
      <c r="D96" s="42"/>
      <c r="E96" s="42"/>
      <c r="F96" s="43"/>
      <c r="G96" s="42"/>
      <c r="H96" s="42"/>
      <c r="I96" s="42"/>
      <c r="J96" s="42"/>
      <c r="K96" s="42"/>
      <c r="L96" s="40"/>
      <c r="M96" s="40"/>
      <c r="O96" s="45"/>
      <c r="P96" s="46"/>
      <c r="Q96" s="46"/>
      <c r="R96" s="46"/>
      <c r="S96" s="75">
        <v>100000</v>
      </c>
      <c r="T96" s="60"/>
      <c r="U96" s="46"/>
      <c r="V96" s="46"/>
      <c r="W96" s="46"/>
      <c r="X96" s="46"/>
      <c r="Y96" s="46"/>
      <c r="Z96" s="46"/>
    </row>
    <row r="97" spans="1:26" ht="15.75" customHeight="1" hidden="1" outlineLevel="1" thickBot="1">
      <c r="A97" s="74" t="s">
        <v>139</v>
      </c>
      <c r="B97" s="42"/>
      <c r="C97" s="42"/>
      <c r="D97" s="42"/>
      <c r="E97" s="42"/>
      <c r="F97" s="43"/>
      <c r="G97" s="42"/>
      <c r="H97" s="42"/>
      <c r="I97" s="42"/>
      <c r="J97" s="42"/>
      <c r="K97" s="42"/>
      <c r="L97" s="40"/>
      <c r="M97" s="40"/>
      <c r="O97" s="45"/>
      <c r="P97" s="46"/>
      <c r="Q97" s="46"/>
      <c r="R97" s="46"/>
      <c r="S97" s="75">
        <v>55000</v>
      </c>
      <c r="T97" s="60"/>
      <c r="U97" s="46"/>
      <c r="V97" s="46"/>
      <c r="W97" s="46"/>
      <c r="X97" s="46"/>
      <c r="Y97" s="46"/>
      <c r="Z97" s="46"/>
    </row>
    <row r="98" spans="1:26" s="66" customFormat="1" ht="13.5" collapsed="1" thickBot="1">
      <c r="A98" s="93" t="s">
        <v>140</v>
      </c>
      <c r="B98" s="1">
        <f>SUM(B47:B95)</f>
        <v>4829565</v>
      </c>
      <c r="C98" s="1">
        <f>SUM(C47:C95)</f>
        <v>4240773.53</v>
      </c>
      <c r="D98" s="1">
        <f>SUM(D47:D95)</f>
        <v>-588791.47</v>
      </c>
      <c r="E98" s="1">
        <f>SUM(E47:E95)</f>
        <v>458791.92999999993</v>
      </c>
      <c r="F98" s="2"/>
      <c r="G98" s="3"/>
      <c r="H98" s="1">
        <f>SUM(H47:H95)</f>
        <v>4909080</v>
      </c>
      <c r="I98" s="1">
        <f>SUM(I47:I95)</f>
        <v>1152000</v>
      </c>
      <c r="J98" s="1">
        <f>SUM(J47:J95)</f>
        <v>700000</v>
      </c>
      <c r="K98" s="1">
        <f>SUM(K47:K95)</f>
        <v>700000</v>
      </c>
      <c r="L98" s="4"/>
      <c r="M98" s="4"/>
      <c r="N98" s="1">
        <f>SUM(N47:N95)</f>
        <v>5568147</v>
      </c>
      <c r="O98" s="5">
        <f>SUM(O47:O95)</f>
        <v>458791.92999999993</v>
      </c>
      <c r="P98" s="5">
        <f>+SUM(P47:P95)</f>
        <v>6026938.93</v>
      </c>
      <c r="Q98" s="5">
        <f>+SUM(Q47:Q95)</f>
        <v>1103504.44</v>
      </c>
      <c r="R98" s="5">
        <f>+SUM(R47:R95)</f>
        <v>-4923434.49</v>
      </c>
      <c r="S98" s="5">
        <f>+SUM(S47:S97)</f>
        <v>5759745.4399999995</v>
      </c>
      <c r="T98" s="6">
        <f aca="true" t="shared" si="11" ref="T98:T103">Q98/P98</f>
        <v>0.18309534123651722</v>
      </c>
      <c r="U98" s="7">
        <f t="shared" si="10"/>
        <v>-267193.4900000002</v>
      </c>
      <c r="V98" s="5">
        <f>+SUM(V47:V97)</f>
        <v>3133000</v>
      </c>
      <c r="W98" s="5">
        <f>+SUM(W47:W97)</f>
        <v>1510000</v>
      </c>
      <c r="X98" s="5">
        <f>+SUM(X47:X97)</f>
        <v>1466000</v>
      </c>
      <c r="Y98" s="5">
        <f>+SUM(Y47:Y97)</f>
        <v>600000</v>
      </c>
      <c r="Z98" s="5">
        <f>+SUM(Z47:Z97)</f>
        <v>600000</v>
      </c>
    </row>
    <row r="99" spans="1:26" ht="12.75" hidden="1" outlineLevel="1">
      <c r="A99" s="94" t="s">
        <v>141</v>
      </c>
      <c r="B99" s="42">
        <v>18000</v>
      </c>
      <c r="C99" s="42">
        <v>0</v>
      </c>
      <c r="D99" s="42">
        <f>C99-B99</f>
        <v>-18000</v>
      </c>
      <c r="E99" s="42">
        <v>18000</v>
      </c>
      <c r="F99" s="43" t="s">
        <v>142</v>
      </c>
      <c r="G99" s="42"/>
      <c r="H99" s="42">
        <v>0</v>
      </c>
      <c r="I99" s="42">
        <v>0</v>
      </c>
      <c r="J99" s="42">
        <v>0</v>
      </c>
      <c r="K99" s="42">
        <v>0</v>
      </c>
      <c r="L99" s="40"/>
      <c r="M99" s="40"/>
      <c r="N99" s="44">
        <v>0</v>
      </c>
      <c r="O99" s="45">
        <v>18000</v>
      </c>
      <c r="P99" s="46">
        <f>N99+O99</f>
        <v>18000</v>
      </c>
      <c r="Q99" s="58">
        <v>6712</v>
      </c>
      <c r="R99" s="46">
        <f t="shared" si="9"/>
        <v>-11288</v>
      </c>
      <c r="S99" s="46">
        <v>18000</v>
      </c>
      <c r="T99" s="59">
        <f t="shared" si="11"/>
        <v>0.3728888888888889</v>
      </c>
      <c r="U99" s="46">
        <f t="shared" si="10"/>
        <v>0</v>
      </c>
      <c r="V99" s="46"/>
      <c r="W99" s="46"/>
      <c r="X99" s="46"/>
      <c r="Y99" s="46"/>
      <c r="Z99" s="46"/>
    </row>
    <row r="100" spans="1:26" ht="13.5" hidden="1" outlineLevel="1" thickBot="1">
      <c r="A100" s="41" t="s">
        <v>143</v>
      </c>
      <c r="B100" s="42"/>
      <c r="C100" s="42"/>
      <c r="D100" s="42"/>
      <c r="E100" s="42">
        <v>0</v>
      </c>
      <c r="F100" s="43"/>
      <c r="G100" s="42"/>
      <c r="H100" s="42"/>
      <c r="I100" s="42"/>
      <c r="J100" s="42"/>
      <c r="K100" s="42"/>
      <c r="L100" s="40"/>
      <c r="M100" s="40"/>
      <c r="N100" s="44">
        <v>161000</v>
      </c>
      <c r="O100" s="45">
        <v>0</v>
      </c>
      <c r="P100" s="46">
        <f>N100+O100</f>
        <v>161000</v>
      </c>
      <c r="Q100" s="58">
        <v>0</v>
      </c>
      <c r="R100" s="46">
        <f t="shared" si="9"/>
        <v>-161000</v>
      </c>
      <c r="S100" s="46">
        <v>161000</v>
      </c>
      <c r="T100" s="60">
        <f t="shared" si="11"/>
        <v>0</v>
      </c>
      <c r="U100" s="46">
        <f t="shared" si="10"/>
        <v>0</v>
      </c>
      <c r="V100" s="46"/>
      <c r="W100" s="46"/>
      <c r="X100" s="46"/>
      <c r="Y100" s="46"/>
      <c r="Z100" s="46"/>
    </row>
    <row r="101" spans="1:26" s="66" customFormat="1" ht="13.5" hidden="1" thickBot="1">
      <c r="A101" s="92" t="s">
        <v>144</v>
      </c>
      <c r="B101" s="61">
        <f>SUM(B99:B99)</f>
        <v>18000</v>
      </c>
      <c r="C101" s="61">
        <f>SUM(C99:C99)</f>
        <v>0</v>
      </c>
      <c r="D101" s="61">
        <f>SUM(D99:D99)</f>
        <v>-18000</v>
      </c>
      <c r="E101" s="61">
        <f>SUM(E99:E100)</f>
        <v>18000</v>
      </c>
      <c r="F101" s="62"/>
      <c r="G101" s="30"/>
      <c r="H101" s="61">
        <f>SUM(H99:H99)</f>
        <v>0</v>
      </c>
      <c r="I101" s="61">
        <f>SUM(I99:I99)</f>
        <v>0</v>
      </c>
      <c r="J101" s="61">
        <f>SUM(J99:J99)</f>
        <v>0</v>
      </c>
      <c r="K101" s="61">
        <f>SUM(K99:K99)</f>
        <v>0</v>
      </c>
      <c r="L101" s="40"/>
      <c r="M101" s="40"/>
      <c r="N101" s="61">
        <f>SUM(N99:N100)</f>
        <v>161000</v>
      </c>
      <c r="O101" s="63">
        <f aca="true" t="shared" si="12" ref="O101:X101">SUM(O99:O100)</f>
        <v>18000</v>
      </c>
      <c r="P101" s="63">
        <f>P99+P100</f>
        <v>179000</v>
      </c>
      <c r="Q101" s="63">
        <f t="shared" si="12"/>
        <v>6712</v>
      </c>
      <c r="R101" s="63">
        <f t="shared" si="12"/>
        <v>-172288</v>
      </c>
      <c r="S101" s="63">
        <f>SUM(S99:S100)</f>
        <v>179000</v>
      </c>
      <c r="T101" s="64">
        <f t="shared" si="11"/>
        <v>0.037497206703910615</v>
      </c>
      <c r="U101" s="65">
        <f t="shared" si="10"/>
        <v>0</v>
      </c>
      <c r="V101" s="63">
        <f t="shared" si="12"/>
        <v>0</v>
      </c>
      <c r="W101" s="63">
        <f t="shared" si="12"/>
        <v>0</v>
      </c>
      <c r="X101" s="63">
        <f t="shared" si="12"/>
        <v>0</v>
      </c>
      <c r="Y101" s="63">
        <f>SUM(Y99:Y100)</f>
        <v>0</v>
      </c>
      <c r="Z101" s="63">
        <f>SUM(Z99:Z100)</f>
        <v>0</v>
      </c>
    </row>
    <row r="102" spans="1:26" ht="15.75" customHeight="1" hidden="1" outlineLevel="1">
      <c r="A102" s="41" t="s">
        <v>145</v>
      </c>
      <c r="B102" s="42">
        <v>1738062</v>
      </c>
      <c r="C102" s="42">
        <v>1152552.56</v>
      </c>
      <c r="D102" s="42">
        <f>C102-B102</f>
        <v>-585509.44</v>
      </c>
      <c r="E102" s="42">
        <v>0</v>
      </c>
      <c r="F102" s="43" t="s">
        <v>146</v>
      </c>
      <c r="G102" s="42"/>
      <c r="H102" s="42">
        <v>100000</v>
      </c>
      <c r="I102" s="42">
        <v>0</v>
      </c>
      <c r="J102" s="42">
        <v>0</v>
      </c>
      <c r="K102" s="42">
        <v>0</v>
      </c>
      <c r="L102" s="40"/>
      <c r="M102" s="40"/>
      <c r="N102" s="44">
        <v>140074</v>
      </c>
      <c r="O102" s="45">
        <v>0</v>
      </c>
      <c r="P102" s="46">
        <f>O102+N102</f>
        <v>140074</v>
      </c>
      <c r="Q102" s="58">
        <v>0</v>
      </c>
      <c r="R102" s="46">
        <f t="shared" si="9"/>
        <v>-140074</v>
      </c>
      <c r="S102" s="46">
        <v>140074</v>
      </c>
      <c r="T102" s="59">
        <f t="shared" si="11"/>
        <v>0</v>
      </c>
      <c r="U102" s="46">
        <f t="shared" si="10"/>
        <v>0</v>
      </c>
      <c r="V102" s="46"/>
      <c r="W102" s="46"/>
      <c r="X102" s="46"/>
      <c r="Y102" s="46"/>
      <c r="Z102" s="46"/>
    </row>
    <row r="103" spans="1:26" ht="15.75" customHeight="1" outlineLevel="1">
      <c r="A103" s="41" t="s">
        <v>147</v>
      </c>
      <c r="B103" s="42">
        <v>1738062</v>
      </c>
      <c r="C103" s="42">
        <v>1152552.56</v>
      </c>
      <c r="D103" s="42">
        <f>C103-B103</f>
        <v>-585509.44</v>
      </c>
      <c r="E103" s="42">
        <v>585509</v>
      </c>
      <c r="F103" s="43" t="s">
        <v>146</v>
      </c>
      <c r="G103" s="42"/>
      <c r="H103" s="42">
        <v>100000</v>
      </c>
      <c r="I103" s="42">
        <v>0</v>
      </c>
      <c r="J103" s="42">
        <v>0</v>
      </c>
      <c r="K103" s="42">
        <v>0</v>
      </c>
      <c r="L103" s="40"/>
      <c r="M103" s="40"/>
      <c r="N103" s="44">
        <v>808062</v>
      </c>
      <c r="O103" s="45">
        <v>585509</v>
      </c>
      <c r="P103" s="46">
        <f aca="true" t="shared" si="13" ref="P103:P140">O103+N103</f>
        <v>1393571</v>
      </c>
      <c r="Q103" s="58">
        <v>149539.48</v>
      </c>
      <c r="R103" s="46">
        <f t="shared" si="9"/>
        <v>-1244031.52</v>
      </c>
      <c r="S103" s="46">
        <v>435509</v>
      </c>
      <c r="T103" s="59">
        <f t="shared" si="11"/>
        <v>0.10730668189851827</v>
      </c>
      <c r="U103" s="46">
        <f t="shared" si="10"/>
        <v>-958062</v>
      </c>
      <c r="V103" s="46">
        <v>250000</v>
      </c>
      <c r="W103" s="46"/>
      <c r="X103" s="46"/>
      <c r="Y103" s="46"/>
      <c r="Z103" s="46"/>
    </row>
    <row r="104" spans="1:26" ht="18" customHeight="1" hidden="1" outlineLevel="1">
      <c r="A104" s="41" t="s">
        <v>148</v>
      </c>
      <c r="B104" s="42">
        <v>49783</v>
      </c>
      <c r="C104" s="42">
        <v>49775</v>
      </c>
      <c r="D104" s="42">
        <f>C104-B104</f>
        <v>-8</v>
      </c>
      <c r="E104" s="42">
        <v>0</v>
      </c>
      <c r="F104" s="43" t="s">
        <v>149</v>
      </c>
      <c r="G104" s="42"/>
      <c r="H104" s="42">
        <v>0</v>
      </c>
      <c r="I104" s="42">
        <v>0</v>
      </c>
      <c r="J104" s="42">
        <v>0</v>
      </c>
      <c r="K104" s="42">
        <v>0</v>
      </c>
      <c r="L104" s="40"/>
      <c r="M104" s="40"/>
      <c r="N104" s="44">
        <v>0</v>
      </c>
      <c r="O104" s="45">
        <v>0</v>
      </c>
      <c r="P104" s="46">
        <f t="shared" si="13"/>
        <v>0</v>
      </c>
      <c r="Q104" s="58">
        <v>0</v>
      </c>
      <c r="R104" s="46">
        <f t="shared" si="9"/>
        <v>0</v>
      </c>
      <c r="S104" s="46">
        <v>0</v>
      </c>
      <c r="T104" s="59">
        <v>0</v>
      </c>
      <c r="U104" s="46">
        <f t="shared" si="10"/>
        <v>0</v>
      </c>
      <c r="V104" s="46"/>
      <c r="W104" s="46"/>
      <c r="X104" s="46"/>
      <c r="Y104" s="46"/>
      <c r="Z104" s="46"/>
    </row>
    <row r="105" spans="1:26" ht="18" customHeight="1" hidden="1" outlineLevel="1">
      <c r="A105" s="41" t="s">
        <v>150</v>
      </c>
      <c r="B105" s="42"/>
      <c r="C105" s="42"/>
      <c r="D105" s="42"/>
      <c r="E105" s="42">
        <v>0</v>
      </c>
      <c r="F105" s="43"/>
      <c r="G105" s="42"/>
      <c r="H105" s="42"/>
      <c r="I105" s="42"/>
      <c r="J105" s="42"/>
      <c r="K105" s="42"/>
      <c r="L105" s="40"/>
      <c r="M105" s="40"/>
      <c r="N105" s="44">
        <v>82545</v>
      </c>
      <c r="O105" s="45">
        <v>0</v>
      </c>
      <c r="P105" s="46">
        <f t="shared" si="13"/>
        <v>82545</v>
      </c>
      <c r="Q105" s="58">
        <v>0</v>
      </c>
      <c r="R105" s="46">
        <f t="shared" si="9"/>
        <v>-82545</v>
      </c>
      <c r="S105" s="46">
        <v>0</v>
      </c>
      <c r="T105" s="59">
        <f>Q105/P105</f>
        <v>0</v>
      </c>
      <c r="U105" s="46">
        <f t="shared" si="10"/>
        <v>-82545</v>
      </c>
      <c r="V105" s="46"/>
      <c r="W105" s="46"/>
      <c r="X105" s="46"/>
      <c r="Y105" s="46"/>
      <c r="Z105" s="46"/>
    </row>
    <row r="106" spans="1:26" ht="18" customHeight="1" hidden="1" outlineLevel="1">
      <c r="A106" s="41" t="s">
        <v>151</v>
      </c>
      <c r="B106" s="42"/>
      <c r="C106" s="42"/>
      <c r="D106" s="42"/>
      <c r="E106" s="42">
        <v>0</v>
      </c>
      <c r="F106" s="43"/>
      <c r="G106" s="42"/>
      <c r="H106" s="42"/>
      <c r="I106" s="42"/>
      <c r="J106" s="42"/>
      <c r="K106" s="42"/>
      <c r="L106" s="40"/>
      <c r="M106" s="40"/>
      <c r="N106" s="44">
        <v>25346</v>
      </c>
      <c r="O106" s="45">
        <v>0</v>
      </c>
      <c r="P106" s="46">
        <f t="shared" si="13"/>
        <v>25346</v>
      </c>
      <c r="Q106" s="58">
        <v>0</v>
      </c>
      <c r="R106" s="46">
        <f t="shared" si="9"/>
        <v>-25346</v>
      </c>
      <c r="S106" s="46">
        <v>25346</v>
      </c>
      <c r="T106" s="59">
        <f>Q106/P106</f>
        <v>0</v>
      </c>
      <c r="U106" s="46">
        <f t="shared" si="10"/>
        <v>0</v>
      </c>
      <c r="V106" s="46"/>
      <c r="W106" s="46"/>
      <c r="X106" s="46"/>
      <c r="Y106" s="46"/>
      <c r="Z106" s="46"/>
    </row>
    <row r="107" spans="1:26" ht="25.5" hidden="1" outlineLevel="1">
      <c r="A107" s="41" t="s">
        <v>152</v>
      </c>
      <c r="B107" s="42">
        <v>10000</v>
      </c>
      <c r="C107" s="42">
        <v>2232.2</v>
      </c>
      <c r="D107" s="42">
        <f>C107-B107</f>
        <v>-7767.8</v>
      </c>
      <c r="E107" s="42">
        <v>7768</v>
      </c>
      <c r="F107" s="43" t="s">
        <v>57</v>
      </c>
      <c r="G107" s="42"/>
      <c r="H107" s="42">
        <v>207362</v>
      </c>
      <c r="I107" s="42">
        <v>0</v>
      </c>
      <c r="J107" s="42">
        <v>0</v>
      </c>
      <c r="K107" s="42">
        <v>0</v>
      </c>
      <c r="L107" s="40"/>
      <c r="M107" s="40"/>
      <c r="N107" s="44">
        <v>182608</v>
      </c>
      <c r="O107" s="45">
        <v>7768</v>
      </c>
      <c r="P107" s="46">
        <f t="shared" si="13"/>
        <v>190376</v>
      </c>
      <c r="Q107" s="58">
        <v>270564.34</v>
      </c>
      <c r="R107" s="46">
        <f t="shared" si="9"/>
        <v>80188.34000000003</v>
      </c>
      <c r="S107" s="46">
        <v>350311</v>
      </c>
      <c r="T107" s="59">
        <f>Q107/P107</f>
        <v>1.4212103416397026</v>
      </c>
      <c r="U107" s="46">
        <f t="shared" si="10"/>
        <v>159935</v>
      </c>
      <c r="V107" s="46"/>
      <c r="W107" s="46"/>
      <c r="X107" s="46"/>
      <c r="Y107" s="46"/>
      <c r="Z107" s="46"/>
    </row>
    <row r="108" spans="1:26" ht="12.75" hidden="1" outlineLevel="1">
      <c r="A108" s="41" t="s">
        <v>153</v>
      </c>
      <c r="B108" s="42"/>
      <c r="C108" s="42"/>
      <c r="D108" s="42"/>
      <c r="E108" s="42">
        <v>0</v>
      </c>
      <c r="F108" s="43"/>
      <c r="G108" s="42"/>
      <c r="H108" s="42"/>
      <c r="I108" s="42"/>
      <c r="J108" s="42"/>
      <c r="K108" s="42"/>
      <c r="L108" s="40"/>
      <c r="M108" s="40"/>
      <c r="N108" s="44">
        <v>32130</v>
      </c>
      <c r="O108" s="45">
        <v>0</v>
      </c>
      <c r="P108" s="46">
        <f t="shared" si="13"/>
        <v>32130</v>
      </c>
      <c r="Q108" s="58">
        <v>0</v>
      </c>
      <c r="R108" s="46">
        <f t="shared" si="9"/>
        <v>-32130</v>
      </c>
      <c r="S108" s="46">
        <v>32130</v>
      </c>
      <c r="T108" s="59">
        <f>Q108/P108</f>
        <v>0</v>
      </c>
      <c r="U108" s="46">
        <f t="shared" si="10"/>
        <v>0</v>
      </c>
      <c r="V108" s="46"/>
      <c r="W108" s="46"/>
      <c r="X108" s="46"/>
      <c r="Y108" s="46"/>
      <c r="Z108" s="46"/>
    </row>
    <row r="109" spans="1:26" ht="12.75" hidden="1" outlineLevel="1">
      <c r="A109" s="41" t="s">
        <v>154</v>
      </c>
      <c r="B109" s="42"/>
      <c r="C109" s="42"/>
      <c r="D109" s="42"/>
      <c r="E109" s="42">
        <v>0</v>
      </c>
      <c r="F109" s="43"/>
      <c r="G109" s="42"/>
      <c r="H109" s="42"/>
      <c r="I109" s="42"/>
      <c r="J109" s="42"/>
      <c r="K109" s="42"/>
      <c r="L109" s="40"/>
      <c r="M109" s="40"/>
      <c r="N109" s="44">
        <v>44375</v>
      </c>
      <c r="O109" s="45">
        <v>0</v>
      </c>
      <c r="P109" s="46">
        <f t="shared" si="13"/>
        <v>44375</v>
      </c>
      <c r="Q109" s="46">
        <v>0</v>
      </c>
      <c r="R109" s="46">
        <f t="shared" si="9"/>
        <v>-44375</v>
      </c>
      <c r="S109" s="46">
        <v>44375</v>
      </c>
      <c r="T109" s="59">
        <f>Q109/P109</f>
        <v>0</v>
      </c>
      <c r="U109" s="46">
        <f t="shared" si="10"/>
        <v>0</v>
      </c>
      <c r="V109" s="46"/>
      <c r="W109" s="46"/>
      <c r="X109" s="46"/>
      <c r="Y109" s="46"/>
      <c r="Z109" s="46"/>
    </row>
    <row r="110" spans="1:26" ht="12.75" hidden="1" outlineLevel="1">
      <c r="A110" s="41" t="s">
        <v>155</v>
      </c>
      <c r="B110" s="42">
        <v>19306</v>
      </c>
      <c r="C110" s="42">
        <v>19306</v>
      </c>
      <c r="D110" s="42">
        <f>C110-B110</f>
        <v>0</v>
      </c>
      <c r="E110" s="42">
        <v>0</v>
      </c>
      <c r="F110" s="43"/>
      <c r="G110" s="42"/>
      <c r="H110" s="42">
        <v>0</v>
      </c>
      <c r="I110" s="42">
        <v>0</v>
      </c>
      <c r="J110" s="42">
        <v>0</v>
      </c>
      <c r="K110" s="42">
        <v>0</v>
      </c>
      <c r="L110" s="40"/>
      <c r="M110" s="40"/>
      <c r="N110" s="44">
        <v>0</v>
      </c>
      <c r="O110" s="45">
        <v>0</v>
      </c>
      <c r="P110" s="46">
        <f t="shared" si="13"/>
        <v>0</v>
      </c>
      <c r="Q110" s="46">
        <v>0</v>
      </c>
      <c r="R110" s="46">
        <f t="shared" si="9"/>
        <v>0</v>
      </c>
      <c r="S110" s="46">
        <v>0</v>
      </c>
      <c r="T110" s="59">
        <v>0</v>
      </c>
      <c r="U110" s="46">
        <f t="shared" si="10"/>
        <v>0</v>
      </c>
      <c r="V110" s="46"/>
      <c r="W110" s="46"/>
      <c r="X110" s="46"/>
      <c r="Y110" s="46"/>
      <c r="Z110" s="46"/>
    </row>
    <row r="111" spans="1:26" ht="12.75" hidden="1" outlineLevel="1">
      <c r="A111" s="41" t="s">
        <v>156</v>
      </c>
      <c r="B111" s="42"/>
      <c r="C111" s="42"/>
      <c r="D111" s="42"/>
      <c r="E111" s="42">
        <v>0</v>
      </c>
      <c r="F111" s="43"/>
      <c r="G111" s="42"/>
      <c r="H111" s="42"/>
      <c r="I111" s="42"/>
      <c r="J111" s="42"/>
      <c r="K111" s="42"/>
      <c r="L111" s="40"/>
      <c r="M111" s="40"/>
      <c r="N111" s="44">
        <v>26473</v>
      </c>
      <c r="O111" s="45">
        <v>0</v>
      </c>
      <c r="P111" s="46">
        <f t="shared" si="13"/>
        <v>26473</v>
      </c>
      <c r="Q111" s="46">
        <v>0</v>
      </c>
      <c r="R111" s="46">
        <f t="shared" si="9"/>
        <v>-26473</v>
      </c>
      <c r="S111" s="46">
        <v>26473</v>
      </c>
      <c r="T111" s="59">
        <f>Q111/P111</f>
        <v>0</v>
      </c>
      <c r="U111" s="46">
        <f t="shared" si="10"/>
        <v>0</v>
      </c>
      <c r="V111" s="46"/>
      <c r="W111" s="46"/>
      <c r="X111" s="46"/>
      <c r="Y111" s="46"/>
      <c r="Z111" s="46"/>
    </row>
    <row r="112" spans="1:26" ht="12.75" hidden="1" outlineLevel="1">
      <c r="A112" s="41" t="s">
        <v>157</v>
      </c>
      <c r="B112" s="42">
        <v>8640</v>
      </c>
      <c r="C112" s="42">
        <v>8640</v>
      </c>
      <c r="D112" s="42">
        <f>C112-B112</f>
        <v>0</v>
      </c>
      <c r="E112" s="42">
        <v>0</v>
      </c>
      <c r="F112" s="43"/>
      <c r="G112" s="42"/>
      <c r="H112" s="42">
        <v>0</v>
      </c>
      <c r="I112" s="42">
        <v>0</v>
      </c>
      <c r="J112" s="42">
        <v>0</v>
      </c>
      <c r="K112" s="42">
        <v>0</v>
      </c>
      <c r="L112" s="40"/>
      <c r="M112" s="40"/>
      <c r="N112" s="44">
        <v>0</v>
      </c>
      <c r="O112" s="45">
        <v>0</v>
      </c>
      <c r="P112" s="46">
        <f t="shared" si="13"/>
        <v>0</v>
      </c>
      <c r="Q112" s="46">
        <v>0</v>
      </c>
      <c r="R112" s="46">
        <f t="shared" si="9"/>
        <v>0</v>
      </c>
      <c r="S112" s="46">
        <v>0</v>
      </c>
      <c r="T112" s="59">
        <v>0</v>
      </c>
      <c r="U112" s="46">
        <f t="shared" si="10"/>
        <v>0</v>
      </c>
      <c r="V112" s="46"/>
      <c r="W112" s="46"/>
      <c r="X112" s="46"/>
      <c r="Y112" s="46"/>
      <c r="Z112" s="46"/>
    </row>
    <row r="113" spans="1:26" ht="12.75" hidden="1" outlineLevel="1">
      <c r="A113" s="41" t="s">
        <v>158</v>
      </c>
      <c r="B113" s="42">
        <v>8057</v>
      </c>
      <c r="C113" s="42">
        <v>8057</v>
      </c>
      <c r="D113" s="42">
        <f>C113-B113</f>
        <v>0</v>
      </c>
      <c r="E113" s="42">
        <v>0</v>
      </c>
      <c r="F113" s="43"/>
      <c r="G113" s="42"/>
      <c r="H113" s="42">
        <v>0</v>
      </c>
      <c r="I113" s="42">
        <v>0</v>
      </c>
      <c r="J113" s="42">
        <v>0</v>
      </c>
      <c r="K113" s="42">
        <v>0</v>
      </c>
      <c r="L113" s="40"/>
      <c r="M113" s="40"/>
      <c r="N113" s="44">
        <v>0</v>
      </c>
      <c r="O113" s="45">
        <v>0</v>
      </c>
      <c r="P113" s="46">
        <f t="shared" si="13"/>
        <v>0</v>
      </c>
      <c r="Q113" s="46">
        <v>0</v>
      </c>
      <c r="R113" s="46">
        <f t="shared" si="9"/>
        <v>0</v>
      </c>
      <c r="S113" s="46">
        <v>0</v>
      </c>
      <c r="T113" s="59">
        <v>0</v>
      </c>
      <c r="U113" s="46">
        <f t="shared" si="10"/>
        <v>0</v>
      </c>
      <c r="V113" s="46"/>
      <c r="W113" s="46"/>
      <c r="X113" s="46"/>
      <c r="Y113" s="46"/>
      <c r="Z113" s="46"/>
    </row>
    <row r="114" spans="1:26" ht="12.75" hidden="1" outlineLevel="1">
      <c r="A114" s="41" t="s">
        <v>159</v>
      </c>
      <c r="B114" s="42">
        <v>112</v>
      </c>
      <c r="C114" s="42">
        <v>112.29</v>
      </c>
      <c r="D114" s="42">
        <f>C114-B114</f>
        <v>0.29000000000000625</v>
      </c>
      <c r="E114" s="42">
        <v>0</v>
      </c>
      <c r="F114" s="43"/>
      <c r="G114" s="42"/>
      <c r="H114" s="42">
        <v>0</v>
      </c>
      <c r="I114" s="42">
        <v>0</v>
      </c>
      <c r="J114" s="42">
        <v>0</v>
      </c>
      <c r="K114" s="42">
        <v>0</v>
      </c>
      <c r="L114" s="40"/>
      <c r="M114" s="40"/>
      <c r="N114" s="44">
        <v>0</v>
      </c>
      <c r="O114" s="45">
        <v>0</v>
      </c>
      <c r="P114" s="46">
        <f t="shared" si="13"/>
        <v>0</v>
      </c>
      <c r="Q114" s="46">
        <v>0</v>
      </c>
      <c r="R114" s="46">
        <f t="shared" si="9"/>
        <v>0</v>
      </c>
      <c r="S114" s="46">
        <v>0</v>
      </c>
      <c r="T114" s="59">
        <v>0</v>
      </c>
      <c r="U114" s="46">
        <f t="shared" si="10"/>
        <v>0</v>
      </c>
      <c r="V114" s="46"/>
      <c r="W114" s="46"/>
      <c r="X114" s="46"/>
      <c r="Y114" s="46"/>
      <c r="Z114" s="46"/>
    </row>
    <row r="115" spans="1:26" ht="12.75" hidden="1" outlineLevel="1">
      <c r="A115" s="41" t="s">
        <v>160</v>
      </c>
      <c r="B115" s="42"/>
      <c r="C115" s="42"/>
      <c r="D115" s="42"/>
      <c r="E115" s="42">
        <v>0</v>
      </c>
      <c r="F115" s="43"/>
      <c r="G115" s="42"/>
      <c r="H115" s="42"/>
      <c r="I115" s="42"/>
      <c r="J115" s="42"/>
      <c r="K115" s="42"/>
      <c r="L115" s="40"/>
      <c r="M115" s="40"/>
      <c r="N115" s="44">
        <v>1830</v>
      </c>
      <c r="O115" s="45">
        <v>0</v>
      </c>
      <c r="P115" s="46">
        <f t="shared" si="13"/>
        <v>1830</v>
      </c>
      <c r="Q115" s="46">
        <v>0</v>
      </c>
      <c r="R115" s="46">
        <f t="shared" si="9"/>
        <v>-1830</v>
      </c>
      <c r="S115" s="46">
        <v>1830</v>
      </c>
      <c r="T115" s="59">
        <f>Q115/P115</f>
        <v>0</v>
      </c>
      <c r="U115" s="46">
        <f t="shared" si="10"/>
        <v>0</v>
      </c>
      <c r="V115" s="46"/>
      <c r="W115" s="46"/>
      <c r="X115" s="46"/>
      <c r="Y115" s="46"/>
      <c r="Z115" s="46"/>
    </row>
    <row r="116" spans="1:26" ht="13.5" customHeight="1" hidden="1" outlineLevel="1">
      <c r="A116" s="41" t="s">
        <v>161</v>
      </c>
      <c r="B116" s="42">
        <v>677</v>
      </c>
      <c r="C116" s="42">
        <v>338.5</v>
      </c>
      <c r="D116" s="42">
        <f>C116-B116</f>
        <v>-338.5</v>
      </c>
      <c r="E116" s="42">
        <v>339</v>
      </c>
      <c r="F116" s="43" t="s">
        <v>57</v>
      </c>
      <c r="G116" s="42"/>
      <c r="H116" s="42">
        <v>0</v>
      </c>
      <c r="I116" s="42">
        <v>0</v>
      </c>
      <c r="J116" s="42">
        <v>0</v>
      </c>
      <c r="K116" s="42">
        <v>0</v>
      </c>
      <c r="L116" s="40"/>
      <c r="M116" s="40"/>
      <c r="N116" s="44">
        <v>0</v>
      </c>
      <c r="O116" s="45">
        <v>339</v>
      </c>
      <c r="P116" s="46">
        <f t="shared" si="13"/>
        <v>339</v>
      </c>
      <c r="Q116" s="46">
        <v>0</v>
      </c>
      <c r="R116" s="46">
        <f t="shared" si="9"/>
        <v>-339</v>
      </c>
      <c r="S116" s="46">
        <v>339</v>
      </c>
      <c r="T116" s="59">
        <f>Q116/P116</f>
        <v>0</v>
      </c>
      <c r="U116" s="46">
        <f t="shared" si="10"/>
        <v>0</v>
      </c>
      <c r="V116" s="46"/>
      <c r="W116" s="46"/>
      <c r="X116" s="46"/>
      <c r="Y116" s="46"/>
      <c r="Z116" s="46"/>
    </row>
    <row r="117" spans="1:26" ht="12.75" hidden="1" outlineLevel="1">
      <c r="A117" s="41" t="s">
        <v>162</v>
      </c>
      <c r="B117" s="42">
        <v>17669</v>
      </c>
      <c r="C117" s="42">
        <v>17669</v>
      </c>
      <c r="D117" s="42">
        <f>C117-B117</f>
        <v>0</v>
      </c>
      <c r="E117" s="42">
        <v>0</v>
      </c>
      <c r="F117" s="43"/>
      <c r="G117" s="42"/>
      <c r="H117" s="42">
        <v>0</v>
      </c>
      <c r="I117" s="42">
        <v>0</v>
      </c>
      <c r="J117" s="42">
        <v>0</v>
      </c>
      <c r="K117" s="42">
        <v>0</v>
      </c>
      <c r="L117" s="40"/>
      <c r="M117" s="40"/>
      <c r="N117" s="44">
        <v>0</v>
      </c>
      <c r="O117" s="45">
        <v>0</v>
      </c>
      <c r="P117" s="46">
        <f t="shared" si="13"/>
        <v>0</v>
      </c>
      <c r="Q117" s="46">
        <v>0</v>
      </c>
      <c r="R117" s="46">
        <f t="shared" si="9"/>
        <v>0</v>
      </c>
      <c r="S117" s="46">
        <v>0</v>
      </c>
      <c r="T117" s="59">
        <v>0</v>
      </c>
      <c r="U117" s="46">
        <f t="shared" si="10"/>
        <v>0</v>
      </c>
      <c r="V117" s="46"/>
      <c r="W117" s="46"/>
      <c r="X117" s="46"/>
      <c r="Y117" s="46"/>
      <c r="Z117" s="46"/>
    </row>
    <row r="118" spans="1:26" ht="12.75" hidden="1" outlineLevel="1">
      <c r="A118" s="41" t="s">
        <v>163</v>
      </c>
      <c r="B118" s="42"/>
      <c r="C118" s="42"/>
      <c r="D118" s="42"/>
      <c r="E118" s="42">
        <v>0</v>
      </c>
      <c r="F118" s="43"/>
      <c r="G118" s="42"/>
      <c r="H118" s="42"/>
      <c r="I118" s="42"/>
      <c r="J118" s="42"/>
      <c r="K118" s="42"/>
      <c r="L118" s="40"/>
      <c r="M118" s="40"/>
      <c r="N118" s="44">
        <v>60000</v>
      </c>
      <c r="O118" s="45">
        <v>0</v>
      </c>
      <c r="P118" s="46">
        <f t="shared" si="13"/>
        <v>60000</v>
      </c>
      <c r="Q118" s="46">
        <v>0</v>
      </c>
      <c r="R118" s="46">
        <f t="shared" si="9"/>
        <v>-60000</v>
      </c>
      <c r="S118" s="46">
        <v>60000</v>
      </c>
      <c r="T118" s="59">
        <f>Q118/P118</f>
        <v>0</v>
      </c>
      <c r="U118" s="46">
        <f t="shared" si="10"/>
        <v>0</v>
      </c>
      <c r="V118" s="46"/>
      <c r="W118" s="46"/>
      <c r="X118" s="46"/>
      <c r="Y118" s="46"/>
      <c r="Z118" s="46"/>
    </row>
    <row r="119" spans="1:26" ht="12.75" hidden="1" outlineLevel="1">
      <c r="A119" s="41" t="s">
        <v>164</v>
      </c>
      <c r="B119" s="42"/>
      <c r="C119" s="42"/>
      <c r="D119" s="42"/>
      <c r="E119" s="42">
        <v>0</v>
      </c>
      <c r="F119" s="43"/>
      <c r="G119" s="42"/>
      <c r="H119" s="42"/>
      <c r="I119" s="42"/>
      <c r="J119" s="42"/>
      <c r="K119" s="42"/>
      <c r="L119" s="40"/>
      <c r="M119" s="40"/>
      <c r="N119" s="44">
        <v>0</v>
      </c>
      <c r="O119" s="45">
        <v>0</v>
      </c>
      <c r="P119" s="46">
        <f t="shared" si="13"/>
        <v>0</v>
      </c>
      <c r="Q119" s="46">
        <v>0</v>
      </c>
      <c r="R119" s="46">
        <f t="shared" si="9"/>
        <v>0</v>
      </c>
      <c r="S119" s="46">
        <v>0</v>
      </c>
      <c r="T119" s="59">
        <v>0</v>
      </c>
      <c r="U119" s="46">
        <f t="shared" si="10"/>
        <v>0</v>
      </c>
      <c r="V119" s="46"/>
      <c r="W119" s="46"/>
      <c r="X119" s="46"/>
      <c r="Y119" s="46"/>
      <c r="Z119" s="46"/>
    </row>
    <row r="120" spans="1:26" ht="12.75" hidden="1" outlineLevel="1">
      <c r="A120" s="41" t="s">
        <v>165</v>
      </c>
      <c r="B120" s="42"/>
      <c r="C120" s="42"/>
      <c r="D120" s="42"/>
      <c r="E120" s="42">
        <v>0</v>
      </c>
      <c r="F120" s="43"/>
      <c r="G120" s="42"/>
      <c r="H120" s="42"/>
      <c r="I120" s="42"/>
      <c r="J120" s="42"/>
      <c r="K120" s="42"/>
      <c r="L120" s="40"/>
      <c r="M120" s="40"/>
      <c r="N120" s="44">
        <v>1320</v>
      </c>
      <c r="O120" s="45">
        <v>0</v>
      </c>
      <c r="P120" s="46">
        <f t="shared" si="13"/>
        <v>1320</v>
      </c>
      <c r="Q120" s="46">
        <v>0</v>
      </c>
      <c r="R120" s="46">
        <f t="shared" si="9"/>
        <v>-1320</v>
      </c>
      <c r="S120" s="46">
        <v>1320</v>
      </c>
      <c r="T120" s="59">
        <f aca="true" t="shared" si="14" ref="T120:T126">Q120/P120</f>
        <v>0</v>
      </c>
      <c r="U120" s="46">
        <f t="shared" si="10"/>
        <v>0</v>
      </c>
      <c r="V120" s="46"/>
      <c r="W120" s="46"/>
      <c r="X120" s="46"/>
      <c r="Y120" s="46"/>
      <c r="Z120" s="46"/>
    </row>
    <row r="121" spans="1:26" ht="12.75" hidden="1" outlineLevel="1">
      <c r="A121" s="41" t="s">
        <v>166</v>
      </c>
      <c r="B121" s="42"/>
      <c r="C121" s="42"/>
      <c r="D121" s="42"/>
      <c r="E121" s="42">
        <v>0</v>
      </c>
      <c r="F121" s="43"/>
      <c r="G121" s="42"/>
      <c r="H121" s="42"/>
      <c r="I121" s="42"/>
      <c r="J121" s="42"/>
      <c r="K121" s="42"/>
      <c r="L121" s="40"/>
      <c r="M121" s="40"/>
      <c r="N121" s="44">
        <v>50000</v>
      </c>
      <c r="O121" s="45">
        <v>0</v>
      </c>
      <c r="P121" s="46">
        <f t="shared" si="13"/>
        <v>50000</v>
      </c>
      <c r="Q121" s="46">
        <v>0</v>
      </c>
      <c r="R121" s="46">
        <f t="shared" si="9"/>
        <v>-50000</v>
      </c>
      <c r="S121" s="46">
        <v>50000</v>
      </c>
      <c r="T121" s="59">
        <f t="shared" si="14"/>
        <v>0</v>
      </c>
      <c r="U121" s="46">
        <f t="shared" si="10"/>
        <v>0</v>
      </c>
      <c r="V121" s="46"/>
      <c r="W121" s="46"/>
      <c r="X121" s="46"/>
      <c r="Y121" s="46"/>
      <c r="Z121" s="46"/>
    </row>
    <row r="122" spans="1:26" ht="12.75" hidden="1" outlineLevel="1">
      <c r="A122" s="41" t="s">
        <v>167</v>
      </c>
      <c r="B122" s="42"/>
      <c r="C122" s="42"/>
      <c r="D122" s="42"/>
      <c r="E122" s="42">
        <v>0</v>
      </c>
      <c r="F122" s="43"/>
      <c r="G122" s="42"/>
      <c r="H122" s="42"/>
      <c r="I122" s="42"/>
      <c r="J122" s="42"/>
      <c r="K122" s="42"/>
      <c r="L122" s="40"/>
      <c r="M122" s="40"/>
      <c r="N122" s="44">
        <v>50000</v>
      </c>
      <c r="O122" s="45">
        <v>0</v>
      </c>
      <c r="P122" s="46">
        <f t="shared" si="13"/>
        <v>50000</v>
      </c>
      <c r="Q122" s="46">
        <v>0</v>
      </c>
      <c r="R122" s="46">
        <f t="shared" si="9"/>
        <v>-50000</v>
      </c>
      <c r="S122" s="46">
        <v>0</v>
      </c>
      <c r="T122" s="59">
        <f t="shared" si="14"/>
        <v>0</v>
      </c>
      <c r="U122" s="46">
        <f t="shared" si="10"/>
        <v>-50000</v>
      </c>
      <c r="V122" s="46"/>
      <c r="W122" s="46"/>
      <c r="X122" s="46"/>
      <c r="Y122" s="46"/>
      <c r="Z122" s="46"/>
    </row>
    <row r="123" spans="1:26" ht="15" customHeight="1" hidden="1" outlineLevel="1">
      <c r="A123" s="41" t="s">
        <v>168</v>
      </c>
      <c r="B123" s="42">
        <v>800000</v>
      </c>
      <c r="C123" s="42">
        <v>55535.5</v>
      </c>
      <c r="D123" s="42">
        <f>C123-B123</f>
        <v>-744464.5</v>
      </c>
      <c r="E123" s="42">
        <v>744465</v>
      </c>
      <c r="F123" s="43" t="s">
        <v>169</v>
      </c>
      <c r="G123" s="42"/>
      <c r="H123" s="42">
        <v>0</v>
      </c>
      <c r="I123" s="42">
        <v>0</v>
      </c>
      <c r="J123" s="42">
        <v>0</v>
      </c>
      <c r="K123" s="42">
        <v>0</v>
      </c>
      <c r="L123" s="40"/>
      <c r="M123" s="40"/>
      <c r="N123" s="44">
        <v>800000</v>
      </c>
      <c r="O123" s="45">
        <v>744465</v>
      </c>
      <c r="P123" s="46">
        <f t="shared" si="13"/>
        <v>1544465</v>
      </c>
      <c r="Q123" s="58">
        <v>20000</v>
      </c>
      <c r="R123" s="46">
        <f t="shared" si="9"/>
        <v>-1524465</v>
      </c>
      <c r="S123" s="46">
        <f>1544465-800000</f>
        <v>744465</v>
      </c>
      <c r="T123" s="59">
        <f t="shared" si="14"/>
        <v>0.012949467938736067</v>
      </c>
      <c r="U123" s="46">
        <f t="shared" si="10"/>
        <v>-800000</v>
      </c>
      <c r="V123" s="46"/>
      <c r="W123" s="46"/>
      <c r="X123" s="46"/>
      <c r="Y123" s="46"/>
      <c r="Z123" s="46"/>
    </row>
    <row r="124" spans="1:26" ht="15.75" customHeight="1" outlineLevel="1">
      <c r="A124" s="41" t="s">
        <v>170</v>
      </c>
      <c r="B124" s="42">
        <v>635000</v>
      </c>
      <c r="C124" s="42">
        <v>561929.36</v>
      </c>
      <c r="D124" s="42">
        <f>C124-B124</f>
        <v>-73070.64000000001</v>
      </c>
      <c r="E124" s="42">
        <v>73071</v>
      </c>
      <c r="F124" s="43" t="s">
        <v>171</v>
      </c>
      <c r="G124" s="42"/>
      <c r="H124" s="42">
        <v>7365000</v>
      </c>
      <c r="I124" s="42">
        <v>500000</v>
      </c>
      <c r="J124" s="42">
        <v>0</v>
      </c>
      <c r="K124" s="42">
        <v>0</v>
      </c>
      <c r="L124" s="40"/>
      <c r="M124" s="40"/>
      <c r="N124" s="44">
        <v>7365000</v>
      </c>
      <c r="O124" s="45">
        <v>73071</v>
      </c>
      <c r="P124" s="46">
        <f t="shared" si="13"/>
        <v>7438071</v>
      </c>
      <c r="Q124" s="58">
        <v>157496</v>
      </c>
      <c r="R124" s="46">
        <f t="shared" si="9"/>
        <v>-7280575</v>
      </c>
      <c r="S124" s="46">
        <v>1000000</v>
      </c>
      <c r="T124" s="59">
        <f t="shared" si="14"/>
        <v>0.021174307155712817</v>
      </c>
      <c r="U124" s="46">
        <f t="shared" si="10"/>
        <v>-6438071</v>
      </c>
      <c r="V124" s="46">
        <v>6938071</v>
      </c>
      <c r="W124" s="46"/>
      <c r="X124" s="46"/>
      <c r="Y124" s="46"/>
      <c r="Z124" s="46"/>
    </row>
    <row r="125" spans="1:26" ht="12.75" hidden="1" outlineLevel="1">
      <c r="A125" s="41" t="s">
        <v>172</v>
      </c>
      <c r="B125" s="42">
        <v>14000</v>
      </c>
      <c r="C125" s="42">
        <v>0</v>
      </c>
      <c r="D125" s="42">
        <f>C125-B125</f>
        <v>-14000</v>
      </c>
      <c r="E125" s="42">
        <v>14000</v>
      </c>
      <c r="F125" s="43" t="s">
        <v>142</v>
      </c>
      <c r="G125" s="42"/>
      <c r="H125" s="42">
        <v>0</v>
      </c>
      <c r="I125" s="42">
        <v>0</v>
      </c>
      <c r="J125" s="42">
        <v>0</v>
      </c>
      <c r="K125" s="42">
        <v>0</v>
      </c>
      <c r="L125" s="40"/>
      <c r="M125" s="40"/>
      <c r="N125" s="44">
        <v>0</v>
      </c>
      <c r="O125" s="45">
        <v>14000</v>
      </c>
      <c r="P125" s="46">
        <f t="shared" si="13"/>
        <v>14000</v>
      </c>
      <c r="Q125" s="46">
        <v>0</v>
      </c>
      <c r="R125" s="46">
        <f t="shared" si="9"/>
        <v>-14000</v>
      </c>
      <c r="S125" s="46">
        <v>14000</v>
      </c>
      <c r="T125" s="59">
        <f t="shared" si="14"/>
        <v>0</v>
      </c>
      <c r="U125" s="46">
        <f t="shared" si="10"/>
        <v>0</v>
      </c>
      <c r="V125" s="46"/>
      <c r="W125" s="46"/>
      <c r="X125" s="46"/>
      <c r="Y125" s="46"/>
      <c r="Z125" s="46"/>
    </row>
    <row r="126" spans="1:26" ht="13.5" customHeight="1" hidden="1" outlineLevel="1">
      <c r="A126" s="41" t="s">
        <v>173</v>
      </c>
      <c r="B126" s="42">
        <v>38000</v>
      </c>
      <c r="C126" s="42">
        <v>0</v>
      </c>
      <c r="D126" s="42">
        <f>C126-B126</f>
        <v>-38000</v>
      </c>
      <c r="E126" s="42">
        <v>38000</v>
      </c>
      <c r="F126" s="43" t="s">
        <v>174</v>
      </c>
      <c r="G126" s="42"/>
      <c r="H126" s="42">
        <v>0</v>
      </c>
      <c r="I126" s="42">
        <v>0</v>
      </c>
      <c r="J126" s="42">
        <v>0</v>
      </c>
      <c r="K126" s="42">
        <v>0</v>
      </c>
      <c r="L126" s="40"/>
      <c r="M126" s="40"/>
      <c r="N126" s="44">
        <v>0</v>
      </c>
      <c r="O126" s="45">
        <v>38000</v>
      </c>
      <c r="P126" s="46">
        <f t="shared" si="13"/>
        <v>38000</v>
      </c>
      <c r="Q126" s="46">
        <v>0</v>
      </c>
      <c r="R126" s="46">
        <f t="shared" si="9"/>
        <v>-38000</v>
      </c>
      <c r="S126" s="46">
        <v>38000</v>
      </c>
      <c r="T126" s="59">
        <f t="shared" si="14"/>
        <v>0</v>
      </c>
      <c r="U126" s="46">
        <f t="shared" si="10"/>
        <v>0</v>
      </c>
      <c r="V126" s="46"/>
      <c r="W126" s="46"/>
      <c r="X126" s="46"/>
      <c r="Y126" s="46"/>
      <c r="Z126" s="46"/>
    </row>
    <row r="127" spans="1:26" ht="13.5" customHeight="1" outlineLevel="1" thickBot="1">
      <c r="A127" s="41" t="s">
        <v>175</v>
      </c>
      <c r="B127" s="42"/>
      <c r="C127" s="42"/>
      <c r="D127" s="42"/>
      <c r="E127" s="42"/>
      <c r="F127" s="43"/>
      <c r="G127" s="42"/>
      <c r="H127" s="42"/>
      <c r="I127" s="42"/>
      <c r="J127" s="42"/>
      <c r="K127" s="42"/>
      <c r="L127" s="40"/>
      <c r="M127" s="40"/>
      <c r="N127" s="44">
        <v>0</v>
      </c>
      <c r="O127" s="45">
        <v>0</v>
      </c>
      <c r="P127" s="46">
        <f t="shared" si="13"/>
        <v>0</v>
      </c>
      <c r="Q127" s="46">
        <v>0</v>
      </c>
      <c r="R127" s="46">
        <f t="shared" si="9"/>
        <v>0</v>
      </c>
      <c r="S127" s="46">
        <v>0</v>
      </c>
      <c r="T127" s="59">
        <v>0</v>
      </c>
      <c r="U127" s="46">
        <f t="shared" si="10"/>
        <v>0</v>
      </c>
      <c r="V127" s="46"/>
      <c r="W127" s="46">
        <v>1000000</v>
      </c>
      <c r="X127" s="46"/>
      <c r="Y127" s="46"/>
      <c r="Z127" s="46"/>
    </row>
    <row r="128" spans="1:26" ht="13.5" customHeight="1" hidden="1" outlineLevel="1">
      <c r="A128" s="41" t="s">
        <v>176</v>
      </c>
      <c r="B128" s="42"/>
      <c r="C128" s="42"/>
      <c r="D128" s="42"/>
      <c r="E128" s="42"/>
      <c r="F128" s="43"/>
      <c r="G128" s="42"/>
      <c r="H128" s="42"/>
      <c r="I128" s="42"/>
      <c r="J128" s="42"/>
      <c r="K128" s="42"/>
      <c r="L128" s="40"/>
      <c r="M128" s="40"/>
      <c r="N128" s="44">
        <v>6960</v>
      </c>
      <c r="O128" s="45">
        <v>0</v>
      </c>
      <c r="P128" s="46">
        <f t="shared" si="13"/>
        <v>6960</v>
      </c>
      <c r="Q128" s="46">
        <v>0</v>
      </c>
      <c r="R128" s="46">
        <f t="shared" si="9"/>
        <v>-6960</v>
      </c>
      <c r="S128" s="46">
        <v>6960</v>
      </c>
      <c r="T128" s="59">
        <f aca="true" t="shared" si="15" ref="T128:T135">Q128/P128</f>
        <v>0</v>
      </c>
      <c r="U128" s="46">
        <f t="shared" si="10"/>
        <v>0</v>
      </c>
      <c r="V128" s="46"/>
      <c r="W128" s="46"/>
      <c r="X128" s="46"/>
      <c r="Y128" s="46"/>
      <c r="Z128" s="46"/>
    </row>
    <row r="129" spans="1:26" ht="13.5" customHeight="1" hidden="1" outlineLevel="1">
      <c r="A129" s="41" t="s">
        <v>177</v>
      </c>
      <c r="B129" s="42"/>
      <c r="C129" s="42"/>
      <c r="D129" s="42"/>
      <c r="E129" s="42"/>
      <c r="F129" s="43"/>
      <c r="G129" s="42"/>
      <c r="H129" s="42"/>
      <c r="I129" s="42"/>
      <c r="J129" s="42"/>
      <c r="K129" s="42"/>
      <c r="L129" s="40"/>
      <c r="M129" s="40"/>
      <c r="N129" s="44">
        <v>2100</v>
      </c>
      <c r="O129" s="45">
        <v>0</v>
      </c>
      <c r="P129" s="46">
        <f t="shared" si="13"/>
        <v>2100</v>
      </c>
      <c r="Q129" s="46">
        <v>0</v>
      </c>
      <c r="R129" s="46">
        <f t="shared" si="9"/>
        <v>-2100</v>
      </c>
      <c r="S129" s="46">
        <v>2100</v>
      </c>
      <c r="T129" s="59">
        <f t="shared" si="15"/>
        <v>0</v>
      </c>
      <c r="U129" s="46">
        <f t="shared" si="10"/>
        <v>0</v>
      </c>
      <c r="V129" s="48"/>
      <c r="W129" s="46"/>
      <c r="X129" s="46"/>
      <c r="Y129" s="46"/>
      <c r="Z129" s="46"/>
    </row>
    <row r="130" spans="1:26" ht="13.5" customHeight="1" hidden="1" outlineLevel="1">
      <c r="A130" s="41" t="s">
        <v>178</v>
      </c>
      <c r="B130" s="42"/>
      <c r="C130" s="42"/>
      <c r="D130" s="42"/>
      <c r="E130" s="42"/>
      <c r="F130" s="43"/>
      <c r="G130" s="42"/>
      <c r="H130" s="42"/>
      <c r="I130" s="42"/>
      <c r="J130" s="42"/>
      <c r="K130" s="42"/>
      <c r="L130" s="40"/>
      <c r="M130" s="40"/>
      <c r="N130" s="44">
        <v>1260</v>
      </c>
      <c r="O130" s="45">
        <v>0</v>
      </c>
      <c r="P130" s="46">
        <f t="shared" si="13"/>
        <v>1260</v>
      </c>
      <c r="Q130" s="46">
        <v>0</v>
      </c>
      <c r="R130" s="46">
        <f t="shared" si="9"/>
        <v>-1260</v>
      </c>
      <c r="S130" s="46">
        <v>1260</v>
      </c>
      <c r="T130" s="59">
        <f t="shared" si="15"/>
        <v>0</v>
      </c>
      <c r="U130" s="46">
        <f t="shared" si="10"/>
        <v>0</v>
      </c>
      <c r="V130" s="48"/>
      <c r="W130" s="46"/>
      <c r="X130" s="46"/>
      <c r="Y130" s="46"/>
      <c r="Z130" s="46"/>
    </row>
    <row r="131" spans="1:26" ht="13.5" customHeight="1" hidden="1" outlineLevel="1">
      <c r="A131" s="41" t="s">
        <v>179</v>
      </c>
      <c r="B131" s="42"/>
      <c r="C131" s="42"/>
      <c r="D131" s="42"/>
      <c r="E131" s="42"/>
      <c r="F131" s="43"/>
      <c r="G131" s="42"/>
      <c r="H131" s="42"/>
      <c r="I131" s="42"/>
      <c r="J131" s="42"/>
      <c r="K131" s="42"/>
      <c r="L131" s="40"/>
      <c r="M131" s="40"/>
      <c r="N131" s="44">
        <v>200000</v>
      </c>
      <c r="O131" s="45">
        <v>0</v>
      </c>
      <c r="P131" s="46">
        <f t="shared" si="13"/>
        <v>200000</v>
      </c>
      <c r="Q131" s="46">
        <v>0</v>
      </c>
      <c r="R131" s="46">
        <f t="shared" si="9"/>
        <v>-200000</v>
      </c>
      <c r="S131" s="46">
        <v>200000</v>
      </c>
      <c r="T131" s="59">
        <f t="shared" si="15"/>
        <v>0</v>
      </c>
      <c r="U131" s="46">
        <f t="shared" si="10"/>
        <v>0</v>
      </c>
      <c r="V131" s="48"/>
      <c r="W131" s="46"/>
      <c r="X131" s="46"/>
      <c r="Y131" s="46"/>
      <c r="Z131" s="46"/>
    </row>
    <row r="132" spans="1:26" ht="13.5" customHeight="1" hidden="1" outlineLevel="1">
      <c r="A132" s="41" t="s">
        <v>180</v>
      </c>
      <c r="B132" s="42"/>
      <c r="C132" s="42"/>
      <c r="D132" s="42"/>
      <c r="E132" s="42"/>
      <c r="F132" s="43"/>
      <c r="G132" s="42"/>
      <c r="H132" s="42"/>
      <c r="I132" s="42"/>
      <c r="J132" s="42"/>
      <c r="K132" s="42"/>
      <c r="L132" s="40"/>
      <c r="M132" s="40"/>
      <c r="N132" s="44">
        <v>11018</v>
      </c>
      <c r="O132" s="45">
        <v>0</v>
      </c>
      <c r="P132" s="46">
        <f t="shared" si="13"/>
        <v>11018</v>
      </c>
      <c r="Q132" s="46">
        <v>0</v>
      </c>
      <c r="R132" s="46">
        <f t="shared" si="9"/>
        <v>-11018</v>
      </c>
      <c r="S132" s="46">
        <v>11018</v>
      </c>
      <c r="T132" s="59">
        <f t="shared" si="15"/>
        <v>0</v>
      </c>
      <c r="U132" s="46">
        <f t="shared" si="10"/>
        <v>0</v>
      </c>
      <c r="V132" s="48"/>
      <c r="W132" s="46"/>
      <c r="X132" s="46"/>
      <c r="Y132" s="46"/>
      <c r="Z132" s="46"/>
    </row>
    <row r="133" spans="1:26" ht="13.5" customHeight="1" hidden="1" outlineLevel="1">
      <c r="A133" s="41" t="s">
        <v>181</v>
      </c>
      <c r="B133" s="42"/>
      <c r="C133" s="42"/>
      <c r="D133" s="42"/>
      <c r="E133" s="42"/>
      <c r="F133" s="43"/>
      <c r="G133" s="42"/>
      <c r="H133" s="42"/>
      <c r="I133" s="42"/>
      <c r="J133" s="42"/>
      <c r="K133" s="42"/>
      <c r="L133" s="40"/>
      <c r="M133" s="40"/>
      <c r="N133" s="44">
        <v>631</v>
      </c>
      <c r="O133" s="45">
        <v>0</v>
      </c>
      <c r="P133" s="46">
        <f t="shared" si="13"/>
        <v>631</v>
      </c>
      <c r="Q133" s="46">
        <v>0</v>
      </c>
      <c r="R133" s="46">
        <f t="shared" si="9"/>
        <v>-631</v>
      </c>
      <c r="S133" s="46">
        <v>631</v>
      </c>
      <c r="T133" s="59">
        <f t="shared" si="15"/>
        <v>0</v>
      </c>
      <c r="U133" s="46">
        <f t="shared" si="10"/>
        <v>0</v>
      </c>
      <c r="V133" s="48"/>
      <c r="W133" s="46"/>
      <c r="X133" s="46"/>
      <c r="Y133" s="46"/>
      <c r="Z133" s="46"/>
    </row>
    <row r="134" spans="1:26" ht="13.5" customHeight="1" hidden="1" outlineLevel="1">
      <c r="A134" s="41" t="s">
        <v>182</v>
      </c>
      <c r="B134" s="42"/>
      <c r="C134" s="42"/>
      <c r="D134" s="42"/>
      <c r="E134" s="42"/>
      <c r="F134" s="43"/>
      <c r="G134" s="42"/>
      <c r="H134" s="42"/>
      <c r="I134" s="42"/>
      <c r="J134" s="42"/>
      <c r="K134" s="42"/>
      <c r="L134" s="40"/>
      <c r="M134" s="40"/>
      <c r="N134" s="44">
        <v>7002</v>
      </c>
      <c r="O134" s="45">
        <v>0</v>
      </c>
      <c r="P134" s="46">
        <f t="shared" si="13"/>
        <v>7002</v>
      </c>
      <c r="Q134" s="46">
        <v>0</v>
      </c>
      <c r="R134" s="46">
        <f t="shared" si="9"/>
        <v>-7002</v>
      </c>
      <c r="S134" s="46">
        <v>7002</v>
      </c>
      <c r="T134" s="59">
        <f t="shared" si="15"/>
        <v>0</v>
      </c>
      <c r="U134" s="46">
        <f t="shared" si="10"/>
        <v>0</v>
      </c>
      <c r="V134" s="48"/>
      <c r="W134" s="46"/>
      <c r="X134" s="46"/>
      <c r="Y134" s="46"/>
      <c r="Z134" s="46"/>
    </row>
    <row r="135" spans="1:26" ht="13.5" customHeight="1" hidden="1" outlineLevel="1">
      <c r="A135" s="41" t="s">
        <v>183</v>
      </c>
      <c r="B135" s="42"/>
      <c r="C135" s="42"/>
      <c r="D135" s="42"/>
      <c r="E135" s="42"/>
      <c r="F135" s="43"/>
      <c r="G135" s="42"/>
      <c r="H135" s="42"/>
      <c r="I135" s="42"/>
      <c r="J135" s="42"/>
      <c r="K135" s="42"/>
      <c r="L135" s="40"/>
      <c r="M135" s="40"/>
      <c r="N135" s="44">
        <v>3000</v>
      </c>
      <c r="O135" s="45">
        <v>0</v>
      </c>
      <c r="P135" s="46">
        <f t="shared" si="13"/>
        <v>3000</v>
      </c>
      <c r="Q135" s="46">
        <v>0</v>
      </c>
      <c r="R135" s="46">
        <f t="shared" si="9"/>
        <v>-3000</v>
      </c>
      <c r="S135" s="46">
        <v>3000</v>
      </c>
      <c r="T135" s="59">
        <f t="shared" si="15"/>
        <v>0</v>
      </c>
      <c r="U135" s="46">
        <f t="shared" si="10"/>
        <v>0</v>
      </c>
      <c r="V135" s="48"/>
      <c r="W135" s="46"/>
      <c r="X135" s="46"/>
      <c r="Y135" s="46"/>
      <c r="Z135" s="46"/>
    </row>
    <row r="136" spans="1:26" ht="13.5" customHeight="1" hidden="1" outlineLevel="1">
      <c r="A136" s="41" t="s">
        <v>184</v>
      </c>
      <c r="B136" s="42"/>
      <c r="C136" s="42"/>
      <c r="D136" s="42"/>
      <c r="E136" s="42"/>
      <c r="F136" s="43"/>
      <c r="G136" s="42"/>
      <c r="H136" s="42"/>
      <c r="I136" s="42"/>
      <c r="J136" s="42"/>
      <c r="K136" s="42"/>
      <c r="L136" s="40"/>
      <c r="M136" s="40"/>
      <c r="O136" s="45"/>
      <c r="P136" s="46"/>
      <c r="Q136" s="46"/>
      <c r="R136" s="46"/>
      <c r="S136" s="48">
        <v>19000</v>
      </c>
      <c r="T136" s="59"/>
      <c r="U136" s="46"/>
      <c r="V136" s="48"/>
      <c r="W136" s="46"/>
      <c r="X136" s="46"/>
      <c r="Y136" s="46"/>
      <c r="Z136" s="46"/>
    </row>
    <row r="137" spans="1:26" ht="13.5" customHeight="1" hidden="1" outlineLevel="1">
      <c r="A137" s="41" t="s">
        <v>185</v>
      </c>
      <c r="B137" s="42"/>
      <c r="C137" s="42"/>
      <c r="D137" s="42"/>
      <c r="E137" s="42"/>
      <c r="F137" s="43"/>
      <c r="G137" s="42"/>
      <c r="H137" s="42"/>
      <c r="I137" s="42"/>
      <c r="J137" s="42"/>
      <c r="K137" s="42"/>
      <c r="L137" s="40"/>
      <c r="M137" s="40"/>
      <c r="O137" s="45"/>
      <c r="P137" s="46"/>
      <c r="Q137" s="46"/>
      <c r="R137" s="46"/>
      <c r="S137" s="48">
        <v>25000</v>
      </c>
      <c r="T137" s="59"/>
      <c r="U137" s="46"/>
      <c r="V137" s="48"/>
      <c r="W137" s="46"/>
      <c r="X137" s="46"/>
      <c r="Y137" s="46"/>
      <c r="Z137" s="46"/>
    </row>
    <row r="138" spans="1:26" ht="13.5" customHeight="1" hidden="1" outlineLevel="1">
      <c r="A138" s="41" t="s">
        <v>186</v>
      </c>
      <c r="B138" s="42"/>
      <c r="C138" s="42"/>
      <c r="D138" s="42"/>
      <c r="E138" s="42"/>
      <c r="F138" s="43"/>
      <c r="G138" s="42"/>
      <c r="H138" s="42"/>
      <c r="I138" s="42"/>
      <c r="J138" s="42"/>
      <c r="K138" s="42"/>
      <c r="L138" s="40"/>
      <c r="M138" s="40"/>
      <c r="O138" s="45"/>
      <c r="P138" s="46"/>
      <c r="Q138" s="46"/>
      <c r="R138" s="46"/>
      <c r="S138" s="48">
        <v>17000</v>
      </c>
      <c r="T138" s="59"/>
      <c r="U138" s="46"/>
      <c r="V138" s="48"/>
      <c r="W138" s="46"/>
      <c r="X138" s="46"/>
      <c r="Y138" s="46"/>
      <c r="Z138" s="46"/>
    </row>
    <row r="139" spans="1:26" ht="13.5" customHeight="1" hidden="1" outlineLevel="1">
      <c r="A139" s="41" t="s">
        <v>187</v>
      </c>
      <c r="B139" s="42"/>
      <c r="C139" s="42"/>
      <c r="D139" s="42"/>
      <c r="E139" s="42"/>
      <c r="F139" s="43"/>
      <c r="G139" s="42"/>
      <c r="H139" s="42"/>
      <c r="I139" s="42"/>
      <c r="J139" s="42"/>
      <c r="K139" s="42"/>
      <c r="L139" s="40"/>
      <c r="M139" s="40"/>
      <c r="N139" s="44">
        <v>3000</v>
      </c>
      <c r="O139" s="45">
        <v>0</v>
      </c>
      <c r="P139" s="46">
        <f t="shared" si="13"/>
        <v>3000</v>
      </c>
      <c r="Q139" s="46">
        <v>0</v>
      </c>
      <c r="R139" s="46">
        <f>+Q139-P139</f>
        <v>-3000</v>
      </c>
      <c r="S139" s="46">
        <v>3000</v>
      </c>
      <c r="T139" s="59">
        <f>Q139/P139</f>
        <v>0</v>
      </c>
      <c r="U139" s="46">
        <f t="shared" si="10"/>
        <v>0</v>
      </c>
      <c r="V139" s="46"/>
      <c r="W139" s="46"/>
      <c r="X139" s="46"/>
      <c r="Y139" s="46"/>
      <c r="Z139" s="46"/>
    </row>
    <row r="140" spans="1:26" ht="13.5" customHeight="1" hidden="1" outlineLevel="1" thickBot="1">
      <c r="A140" s="41" t="s">
        <v>188</v>
      </c>
      <c r="B140" s="42"/>
      <c r="C140" s="42"/>
      <c r="D140" s="42"/>
      <c r="E140" s="42"/>
      <c r="F140" s="43"/>
      <c r="G140" s="42"/>
      <c r="H140" s="42"/>
      <c r="I140" s="42"/>
      <c r="J140" s="42"/>
      <c r="K140" s="42"/>
      <c r="L140" s="40"/>
      <c r="M140" s="40"/>
      <c r="N140" s="44">
        <v>8000</v>
      </c>
      <c r="O140" s="45">
        <v>0</v>
      </c>
      <c r="P140" s="46">
        <f t="shared" si="13"/>
        <v>8000</v>
      </c>
      <c r="Q140" s="46">
        <v>0</v>
      </c>
      <c r="R140" s="46">
        <f>+Q140-P140</f>
        <v>-8000</v>
      </c>
      <c r="S140" s="46">
        <v>8000</v>
      </c>
      <c r="T140" s="60">
        <f>Q140/P140</f>
        <v>0</v>
      </c>
      <c r="U140" s="46">
        <f t="shared" si="10"/>
        <v>0</v>
      </c>
      <c r="V140" s="46"/>
      <c r="W140" s="46"/>
      <c r="X140" s="46"/>
      <c r="Y140" s="46"/>
      <c r="Z140" s="46"/>
    </row>
    <row r="141" spans="1:26" s="66" customFormat="1" ht="13.5" collapsed="1" thickBot="1">
      <c r="A141" s="93" t="s">
        <v>189</v>
      </c>
      <c r="B141" s="1">
        <f>SUM(B102:B126)</f>
        <v>5077368</v>
      </c>
      <c r="C141" s="1">
        <f>SUM(C102:C126)</f>
        <v>3028699.97</v>
      </c>
      <c r="D141" s="1">
        <f>SUM(D102:D126)</f>
        <v>-2048668.0299999998</v>
      </c>
      <c r="E141" s="1">
        <f>SUM(E102:E140)</f>
        <v>1463152</v>
      </c>
      <c r="F141" s="2"/>
      <c r="G141" s="3"/>
      <c r="H141" s="1">
        <f>SUM(H102:H126)</f>
        <v>7772362</v>
      </c>
      <c r="I141" s="1">
        <f>SUM(I102:I126)</f>
        <v>500000</v>
      </c>
      <c r="J141" s="1">
        <f>SUM(J102:J126)</f>
        <v>0</v>
      </c>
      <c r="K141" s="1">
        <f>SUM(K102:K126)</f>
        <v>0</v>
      </c>
      <c r="L141" s="4"/>
      <c r="M141" s="4"/>
      <c r="N141" s="1">
        <f>SUM(N102:N140)</f>
        <v>9912734</v>
      </c>
      <c r="O141" s="5">
        <f>SUM(O102:O140)</f>
        <v>1463152</v>
      </c>
      <c r="P141" s="5">
        <f>+SUM(P102:P140)</f>
        <v>11375886</v>
      </c>
      <c r="Q141" s="5">
        <f>+SUM(Q102:Q140)</f>
        <v>597599.8200000001</v>
      </c>
      <c r="R141" s="5">
        <f>+SUM(R102:R140)</f>
        <v>-10778286.18</v>
      </c>
      <c r="S141" s="5">
        <f>+SUM(S102:S140)</f>
        <v>3268143</v>
      </c>
      <c r="T141" s="6">
        <f>Q141/P141</f>
        <v>0.05253215617667055</v>
      </c>
      <c r="U141" s="7">
        <f t="shared" si="10"/>
        <v>-8107743</v>
      </c>
      <c r="V141" s="5">
        <f>SUM(V102:V140)</f>
        <v>7188071</v>
      </c>
      <c r="W141" s="5">
        <f>SUM(W102:W140)</f>
        <v>1000000</v>
      </c>
      <c r="X141" s="5">
        <f>SUM(X102:X140)</f>
        <v>0</v>
      </c>
      <c r="Y141" s="5">
        <f>SUM(Y102:Y140)</f>
        <v>0</v>
      </c>
      <c r="Z141" s="5">
        <f>SUM(Z102:Z140)</f>
        <v>0</v>
      </c>
    </row>
    <row r="142" spans="1:26" ht="25.5" hidden="1" outlineLevel="1">
      <c r="A142" s="94" t="s">
        <v>190</v>
      </c>
      <c r="B142" s="42">
        <v>1880</v>
      </c>
      <c r="C142" s="42">
        <v>1850</v>
      </c>
      <c r="D142" s="42">
        <f>C142-B142</f>
        <v>-30</v>
      </c>
      <c r="E142" s="42">
        <v>0</v>
      </c>
      <c r="F142" s="43" t="s">
        <v>149</v>
      </c>
      <c r="G142" s="42"/>
      <c r="H142" s="42">
        <v>0</v>
      </c>
      <c r="I142" s="42">
        <v>0</v>
      </c>
      <c r="J142" s="42">
        <v>0</v>
      </c>
      <c r="K142" s="42">
        <v>0</v>
      </c>
      <c r="L142" s="40"/>
      <c r="M142" s="40"/>
      <c r="N142" s="44">
        <v>0</v>
      </c>
      <c r="O142" s="45">
        <v>0</v>
      </c>
      <c r="P142" s="46">
        <f>N142+O142</f>
        <v>0</v>
      </c>
      <c r="Q142" s="46">
        <v>0</v>
      </c>
      <c r="R142" s="46"/>
      <c r="S142" s="46"/>
      <c r="T142" s="59">
        <v>0</v>
      </c>
      <c r="U142" s="46">
        <f t="shared" si="10"/>
        <v>0</v>
      </c>
      <c r="V142" s="46"/>
      <c r="W142" s="46"/>
      <c r="X142" s="46"/>
      <c r="Y142" s="46"/>
      <c r="Z142" s="46"/>
    </row>
    <row r="143" spans="1:26" ht="12.75" hidden="1" outlineLevel="1">
      <c r="A143" s="41" t="s">
        <v>191</v>
      </c>
      <c r="B143" s="42"/>
      <c r="C143" s="42"/>
      <c r="D143" s="42"/>
      <c r="E143" s="42"/>
      <c r="F143" s="43"/>
      <c r="G143" s="42"/>
      <c r="H143" s="42"/>
      <c r="I143" s="42"/>
      <c r="J143" s="42"/>
      <c r="K143" s="42"/>
      <c r="L143" s="40"/>
      <c r="M143" s="40"/>
      <c r="O143" s="45"/>
      <c r="P143" s="46"/>
      <c r="Q143" s="46"/>
      <c r="R143" s="46"/>
      <c r="S143" s="46">
        <v>60550</v>
      </c>
      <c r="T143" s="59"/>
      <c r="U143" s="46"/>
      <c r="V143" s="46"/>
      <c r="W143" s="46"/>
      <c r="X143" s="46"/>
      <c r="Y143" s="46"/>
      <c r="Z143" s="46"/>
    </row>
    <row r="144" spans="1:26" ht="12.75" hidden="1" outlineLevel="1">
      <c r="A144" s="41" t="s">
        <v>192</v>
      </c>
      <c r="B144" s="42">
        <v>31500</v>
      </c>
      <c r="C144" s="42">
        <v>31500</v>
      </c>
      <c r="D144" s="42">
        <f>C144-B144</f>
        <v>0</v>
      </c>
      <c r="E144" s="42">
        <v>0</v>
      </c>
      <c r="F144" s="43"/>
      <c r="G144" s="42"/>
      <c r="H144" s="42">
        <v>0</v>
      </c>
      <c r="I144" s="42">
        <v>0</v>
      </c>
      <c r="J144" s="42">
        <v>0</v>
      </c>
      <c r="K144" s="42">
        <v>0</v>
      </c>
      <c r="L144" s="40"/>
      <c r="M144" s="40"/>
      <c r="N144" s="44">
        <v>0</v>
      </c>
      <c r="O144" s="45">
        <v>0</v>
      </c>
      <c r="P144" s="46">
        <f aca="true" t="shared" si="16" ref="P144:P150">N144+O144</f>
        <v>0</v>
      </c>
      <c r="Q144" s="46">
        <v>0</v>
      </c>
      <c r="R144" s="46"/>
      <c r="S144" s="46"/>
      <c r="T144" s="59">
        <v>0</v>
      </c>
      <c r="U144" s="46">
        <f t="shared" si="10"/>
        <v>0</v>
      </c>
      <c r="V144" s="46"/>
      <c r="W144" s="46"/>
      <c r="X144" s="46"/>
      <c r="Y144" s="46"/>
      <c r="Z144" s="46"/>
    </row>
    <row r="145" spans="1:26" ht="16.5" customHeight="1" hidden="1" outlineLevel="1">
      <c r="A145" s="41" t="s">
        <v>193</v>
      </c>
      <c r="B145" s="42">
        <v>1892178</v>
      </c>
      <c r="C145" s="42">
        <v>925555.81</v>
      </c>
      <c r="D145" s="42">
        <f>C145-B145</f>
        <v>-966622.19</v>
      </c>
      <c r="E145" s="42">
        <v>491400</v>
      </c>
      <c r="F145" s="43" t="s">
        <v>194</v>
      </c>
      <c r="G145" s="42"/>
      <c r="H145" s="42">
        <v>292000</v>
      </c>
      <c r="I145" s="42">
        <v>1280000</v>
      </c>
      <c r="J145" s="42">
        <v>1719000</v>
      </c>
      <c r="K145" s="42">
        <v>1678000</v>
      </c>
      <c r="L145" s="40"/>
      <c r="M145" s="40"/>
      <c r="N145" s="44">
        <v>292000</v>
      </c>
      <c r="O145" s="45">
        <v>491400</v>
      </c>
      <c r="P145" s="46">
        <f t="shared" si="16"/>
        <v>783400</v>
      </c>
      <c r="Q145" s="47">
        <v>193424.01</v>
      </c>
      <c r="R145" s="46">
        <f aca="true" t="shared" si="17" ref="R145:R153">+Q145-P145</f>
        <v>-589975.99</v>
      </c>
      <c r="S145" s="46">
        <v>783400</v>
      </c>
      <c r="T145" s="59">
        <f>Q145/P145</f>
        <v>0.2469032550421241</v>
      </c>
      <c r="U145" s="46">
        <f t="shared" si="10"/>
        <v>0</v>
      </c>
      <c r="V145" s="46"/>
      <c r="W145" s="46"/>
      <c r="X145" s="46"/>
      <c r="Y145" s="46"/>
      <c r="Z145" s="46"/>
    </row>
    <row r="146" spans="1:26" ht="16.5" customHeight="1" hidden="1" outlineLevel="1">
      <c r="A146" s="41" t="s">
        <v>195</v>
      </c>
      <c r="B146" s="42"/>
      <c r="C146" s="42"/>
      <c r="D146" s="42"/>
      <c r="E146" s="42">
        <v>0</v>
      </c>
      <c r="F146" s="43"/>
      <c r="G146" s="42"/>
      <c r="H146" s="42"/>
      <c r="I146" s="42"/>
      <c r="J146" s="42"/>
      <c r="K146" s="42"/>
      <c r="L146" s="40"/>
      <c r="M146" s="40"/>
      <c r="N146" s="44">
        <v>0</v>
      </c>
      <c r="O146" s="45">
        <v>0</v>
      </c>
      <c r="P146" s="46">
        <f t="shared" si="16"/>
        <v>0</v>
      </c>
      <c r="Q146" s="46">
        <v>0</v>
      </c>
      <c r="R146" s="46">
        <f t="shared" si="17"/>
        <v>0</v>
      </c>
      <c r="S146" s="46">
        <v>230000</v>
      </c>
      <c r="T146" s="59">
        <v>0</v>
      </c>
      <c r="U146" s="46">
        <f t="shared" si="10"/>
        <v>230000</v>
      </c>
      <c r="V146" s="46"/>
      <c r="W146" s="46"/>
      <c r="X146" s="46"/>
      <c r="Y146" s="46"/>
      <c r="Z146" s="46"/>
    </row>
    <row r="147" spans="1:26" ht="16.5" customHeight="1" hidden="1" outlineLevel="1">
      <c r="A147" s="41" t="s">
        <v>196</v>
      </c>
      <c r="B147" s="42"/>
      <c r="C147" s="42"/>
      <c r="D147" s="42"/>
      <c r="E147" s="42">
        <v>0</v>
      </c>
      <c r="F147" s="43"/>
      <c r="G147" s="42"/>
      <c r="H147" s="42"/>
      <c r="I147" s="42"/>
      <c r="J147" s="42"/>
      <c r="K147" s="42"/>
      <c r="L147" s="40"/>
      <c r="M147" s="40"/>
      <c r="N147" s="44">
        <v>30000</v>
      </c>
      <c r="O147" s="45">
        <v>0</v>
      </c>
      <c r="P147" s="46">
        <f t="shared" si="16"/>
        <v>30000</v>
      </c>
      <c r="Q147" s="46">
        <v>0</v>
      </c>
      <c r="R147" s="46">
        <f t="shared" si="17"/>
        <v>-30000</v>
      </c>
      <c r="S147" s="46">
        <v>30000</v>
      </c>
      <c r="T147" s="59">
        <f>Q147/P147</f>
        <v>0</v>
      </c>
      <c r="U147" s="46">
        <f t="shared" si="10"/>
        <v>0</v>
      </c>
      <c r="V147" s="46"/>
      <c r="W147" s="46"/>
      <c r="X147" s="46"/>
      <c r="Y147" s="46"/>
      <c r="Z147" s="46"/>
    </row>
    <row r="148" spans="1:26" ht="16.5" customHeight="1" hidden="1" outlineLevel="1">
      <c r="A148" s="41" t="s">
        <v>197</v>
      </c>
      <c r="B148" s="42"/>
      <c r="C148" s="42"/>
      <c r="D148" s="42"/>
      <c r="E148" s="42">
        <v>0</v>
      </c>
      <c r="F148" s="43"/>
      <c r="G148" s="42"/>
      <c r="H148" s="42"/>
      <c r="I148" s="42"/>
      <c r="J148" s="42"/>
      <c r="K148" s="42"/>
      <c r="L148" s="40"/>
      <c r="M148" s="40"/>
      <c r="N148" s="44">
        <v>308000</v>
      </c>
      <c r="O148" s="45">
        <v>0</v>
      </c>
      <c r="P148" s="46">
        <f t="shared" si="16"/>
        <v>308000</v>
      </c>
      <c r="Q148" s="46">
        <v>0</v>
      </c>
      <c r="R148" s="46">
        <f t="shared" si="17"/>
        <v>-308000</v>
      </c>
      <c r="S148" s="46">
        <v>155000</v>
      </c>
      <c r="T148" s="59">
        <f>Q148/P148</f>
        <v>0</v>
      </c>
      <c r="U148" s="46">
        <f t="shared" si="10"/>
        <v>-153000</v>
      </c>
      <c r="V148" s="46"/>
      <c r="W148" s="46"/>
      <c r="X148" s="46"/>
      <c r="Y148" s="46"/>
      <c r="Z148" s="46"/>
    </row>
    <row r="149" spans="1:26" ht="16.5" customHeight="1" hidden="1" outlineLevel="1">
      <c r="A149" s="41" t="s">
        <v>198</v>
      </c>
      <c r="B149" s="42"/>
      <c r="C149" s="42"/>
      <c r="D149" s="42"/>
      <c r="E149" s="42">
        <v>0</v>
      </c>
      <c r="F149" s="43"/>
      <c r="G149" s="42"/>
      <c r="H149" s="42"/>
      <c r="I149" s="42"/>
      <c r="J149" s="42"/>
      <c r="K149" s="42"/>
      <c r="L149" s="40"/>
      <c r="M149" s="40"/>
      <c r="N149" s="44">
        <v>50000</v>
      </c>
      <c r="O149" s="45">
        <v>0</v>
      </c>
      <c r="P149" s="46">
        <f t="shared" si="16"/>
        <v>50000</v>
      </c>
      <c r="Q149" s="46">
        <v>0</v>
      </c>
      <c r="R149" s="46">
        <f t="shared" si="17"/>
        <v>-50000</v>
      </c>
      <c r="S149" s="46">
        <v>50000</v>
      </c>
      <c r="T149" s="59">
        <f>Q149/P149</f>
        <v>0</v>
      </c>
      <c r="U149" s="46">
        <f t="shared" si="10"/>
        <v>0</v>
      </c>
      <c r="V149" s="46"/>
      <c r="W149" s="46"/>
      <c r="X149" s="46"/>
      <c r="Y149" s="46"/>
      <c r="Z149" s="46"/>
    </row>
    <row r="150" spans="1:26" ht="13.5" outlineLevel="1" thickBot="1">
      <c r="A150" s="41" t="s">
        <v>199</v>
      </c>
      <c r="B150" s="42">
        <v>600000</v>
      </c>
      <c r="C150" s="42">
        <v>595739.65</v>
      </c>
      <c r="D150" s="42">
        <f>C150-B150</f>
        <v>-4260.349999999977</v>
      </c>
      <c r="E150" s="42">
        <v>0</v>
      </c>
      <c r="F150" s="43" t="s">
        <v>200</v>
      </c>
      <c r="G150" s="42"/>
      <c r="H150" s="42">
        <v>0</v>
      </c>
      <c r="I150" s="42">
        <v>0</v>
      </c>
      <c r="J150" s="42">
        <v>0</v>
      </c>
      <c r="K150" s="42">
        <v>0</v>
      </c>
      <c r="L150" s="40"/>
      <c r="M150" s="40"/>
      <c r="O150" s="45">
        <v>0</v>
      </c>
      <c r="P150" s="46">
        <f t="shared" si="16"/>
        <v>0</v>
      </c>
      <c r="Q150" s="46">
        <v>0</v>
      </c>
      <c r="R150" s="46">
        <f t="shared" si="17"/>
        <v>0</v>
      </c>
      <c r="S150" s="46">
        <v>0</v>
      </c>
      <c r="T150" s="60">
        <v>0</v>
      </c>
      <c r="U150" s="46">
        <f t="shared" si="10"/>
        <v>0</v>
      </c>
      <c r="V150" s="46">
        <v>84000</v>
      </c>
      <c r="W150" s="46"/>
      <c r="X150" s="46"/>
      <c r="Y150" s="46"/>
      <c r="Z150" s="46"/>
    </row>
    <row r="151" spans="1:26" s="66" customFormat="1" ht="13.5" thickBot="1">
      <c r="A151" s="93" t="s">
        <v>201</v>
      </c>
      <c r="B151" s="1">
        <f>SUM(B142:B150)</f>
        <v>2525558</v>
      </c>
      <c r="C151" s="1">
        <f>SUM(C142:C150)</f>
        <v>1554645.46</v>
      </c>
      <c r="D151" s="1">
        <f>SUM(D142:D150)</f>
        <v>-970912.5399999999</v>
      </c>
      <c r="E151" s="1">
        <f>SUM(E142:E150)</f>
        <v>491400</v>
      </c>
      <c r="F151" s="2"/>
      <c r="G151" s="3"/>
      <c r="H151" s="1">
        <f>SUM(H142:H150)</f>
        <v>292000</v>
      </c>
      <c r="I151" s="1">
        <f>SUM(I142:I150)</f>
        <v>1280000</v>
      </c>
      <c r="J151" s="1">
        <f>SUM(J142:J150)</f>
        <v>1719000</v>
      </c>
      <c r="K151" s="1">
        <f>SUM(K142:K150)</f>
        <v>1678000</v>
      </c>
      <c r="L151" s="4"/>
      <c r="M151" s="4"/>
      <c r="N151" s="1">
        <f>SUM(N142:N150)</f>
        <v>680000</v>
      </c>
      <c r="O151" s="5">
        <f>SUM(O142:O150)</f>
        <v>491400</v>
      </c>
      <c r="P151" s="5">
        <f>+SUM(P145:P150)</f>
        <v>1171400</v>
      </c>
      <c r="Q151" s="5">
        <f>+SUM(Q145:Q150)</f>
        <v>193424.01</v>
      </c>
      <c r="R151" s="5">
        <f>+SUM(R145:R150)</f>
        <v>-977975.99</v>
      </c>
      <c r="S151" s="5">
        <f>+SUM(S142:S150)</f>
        <v>1308950</v>
      </c>
      <c r="T151" s="6">
        <f>Q151/P151</f>
        <v>0.16512208468499232</v>
      </c>
      <c r="U151" s="7">
        <f t="shared" si="10"/>
        <v>137550</v>
      </c>
      <c r="V151" s="5">
        <f>+SUM(V142:V150)</f>
        <v>84000</v>
      </c>
      <c r="W151" s="5">
        <f>+SUM(W142:W150)</f>
        <v>0</v>
      </c>
      <c r="X151" s="5">
        <f>+SUM(X142:X150)</f>
        <v>0</v>
      </c>
      <c r="Y151" s="5">
        <f>+SUM(Y142:Y150)</f>
        <v>0</v>
      </c>
      <c r="Z151" s="5">
        <f>+SUM(Z142:Z150)</f>
        <v>0</v>
      </c>
    </row>
    <row r="152" spans="1:26" ht="13.5" outlineLevel="1" thickBot="1">
      <c r="A152" s="94" t="s">
        <v>202</v>
      </c>
      <c r="B152" s="42">
        <v>330703</v>
      </c>
      <c r="C152" s="42">
        <f>330703.04-50000</f>
        <v>280703.04</v>
      </c>
      <c r="D152" s="42">
        <f>C152-B152</f>
        <v>-49999.96000000002</v>
      </c>
      <c r="E152" s="42">
        <v>0</v>
      </c>
      <c r="F152" s="43"/>
      <c r="G152" s="42"/>
      <c r="H152" s="42">
        <v>99069</v>
      </c>
      <c r="I152" s="42">
        <v>150000</v>
      </c>
      <c r="J152" s="42">
        <v>200000</v>
      </c>
      <c r="K152" s="42">
        <v>100000</v>
      </c>
      <c r="L152" s="40"/>
      <c r="M152" s="40"/>
      <c r="N152" s="44">
        <v>100000</v>
      </c>
      <c r="O152" s="45">
        <v>0</v>
      </c>
      <c r="P152" s="46">
        <f>N152+O152</f>
        <v>100000</v>
      </c>
      <c r="Q152" s="46">
        <v>0</v>
      </c>
      <c r="R152" s="46">
        <f t="shared" si="17"/>
        <v>-100000</v>
      </c>
      <c r="S152" s="46">
        <v>100000</v>
      </c>
      <c r="T152" s="59">
        <f>Q152/P152</f>
        <v>0</v>
      </c>
      <c r="U152" s="46">
        <f t="shared" si="10"/>
        <v>0</v>
      </c>
      <c r="V152" s="46">
        <v>150000</v>
      </c>
      <c r="W152" s="46">
        <v>200000</v>
      </c>
      <c r="X152" s="46">
        <v>100000</v>
      </c>
      <c r="Y152" s="46"/>
      <c r="Z152" s="46"/>
    </row>
    <row r="153" spans="1:26" ht="13.5" hidden="1" outlineLevel="1" thickBot="1">
      <c r="A153" s="41" t="s">
        <v>203</v>
      </c>
      <c r="B153" s="42"/>
      <c r="C153" s="42"/>
      <c r="D153" s="42"/>
      <c r="E153" s="42">
        <v>0</v>
      </c>
      <c r="F153" s="43"/>
      <c r="G153" s="42"/>
      <c r="H153" s="42"/>
      <c r="I153" s="42"/>
      <c r="J153" s="42"/>
      <c r="K153" s="42"/>
      <c r="L153" s="40"/>
      <c r="M153" s="40"/>
      <c r="N153" s="44">
        <v>200000</v>
      </c>
      <c r="O153" s="45">
        <v>0</v>
      </c>
      <c r="P153" s="46">
        <f>N153+O153</f>
        <v>200000</v>
      </c>
      <c r="Q153" s="46">
        <v>0</v>
      </c>
      <c r="R153" s="46">
        <f t="shared" si="17"/>
        <v>-200000</v>
      </c>
      <c r="S153" s="46">
        <v>200000</v>
      </c>
      <c r="T153" s="59">
        <f>Q153/P153</f>
        <v>0</v>
      </c>
      <c r="U153" s="46">
        <f t="shared" si="10"/>
        <v>0</v>
      </c>
      <c r="V153" s="46"/>
      <c r="W153" s="46"/>
      <c r="X153" s="46"/>
      <c r="Y153" s="46"/>
      <c r="Z153" s="46"/>
    </row>
    <row r="154" spans="1:26" s="66" customFormat="1" ht="13.5" collapsed="1" thickBot="1">
      <c r="A154" s="93" t="s">
        <v>204</v>
      </c>
      <c r="B154" s="1">
        <f>SUM(B152:B152)</f>
        <v>330703</v>
      </c>
      <c r="C154" s="1">
        <f>SUM(C152:C152)</f>
        <v>280703.04</v>
      </c>
      <c r="D154" s="1">
        <f>SUM(D152:D152)</f>
        <v>-49999.96000000002</v>
      </c>
      <c r="E154" s="1">
        <f>SUM(E152:E153)</f>
        <v>0</v>
      </c>
      <c r="F154" s="2"/>
      <c r="G154" s="3"/>
      <c r="H154" s="1">
        <f>SUM(H152:H152)</f>
        <v>99069</v>
      </c>
      <c r="I154" s="1">
        <f>SUM(I152:I152)</f>
        <v>150000</v>
      </c>
      <c r="J154" s="1">
        <f>SUM(J152:J152)</f>
        <v>200000</v>
      </c>
      <c r="K154" s="1">
        <f>SUM(K152:K152)</f>
        <v>100000</v>
      </c>
      <c r="L154" s="4"/>
      <c r="M154" s="4"/>
      <c r="N154" s="1">
        <f>SUM(N152:N153)</f>
        <v>300000</v>
      </c>
      <c r="O154" s="5">
        <f aca="true" t="shared" si="18" ref="O154:X154">SUM(O152:O153)</f>
        <v>0</v>
      </c>
      <c r="P154" s="5">
        <f>P152+P153</f>
        <v>300000</v>
      </c>
      <c r="Q154" s="5">
        <f t="shared" si="18"/>
        <v>0</v>
      </c>
      <c r="R154" s="5">
        <f t="shared" si="18"/>
        <v>-300000</v>
      </c>
      <c r="S154" s="5">
        <f t="shared" si="18"/>
        <v>300000</v>
      </c>
      <c r="T154" s="6">
        <f>Q154/P154</f>
        <v>0</v>
      </c>
      <c r="U154" s="7">
        <f t="shared" si="10"/>
        <v>0</v>
      </c>
      <c r="V154" s="5">
        <f t="shared" si="18"/>
        <v>150000</v>
      </c>
      <c r="W154" s="5">
        <f t="shared" si="18"/>
        <v>200000</v>
      </c>
      <c r="X154" s="5">
        <f t="shared" si="18"/>
        <v>100000</v>
      </c>
      <c r="Y154" s="5">
        <f>SUM(Y152:Y153)</f>
        <v>0</v>
      </c>
      <c r="Z154" s="5">
        <f>SUM(Z152:Z153)</f>
        <v>0</v>
      </c>
    </row>
    <row r="155" spans="1:26" s="66" customFormat="1" ht="12.75">
      <c r="A155" s="38"/>
      <c r="B155" s="30"/>
      <c r="C155" s="30"/>
      <c r="D155" s="30"/>
      <c r="E155" s="30"/>
      <c r="F155" s="31"/>
      <c r="G155" s="30"/>
      <c r="H155" s="30"/>
      <c r="I155" s="30"/>
      <c r="J155" s="30"/>
      <c r="K155" s="30"/>
      <c r="L155" s="40"/>
      <c r="M155" s="40"/>
      <c r="N155" s="30"/>
      <c r="O155" s="33"/>
      <c r="P155" s="33"/>
      <c r="Q155" s="33"/>
      <c r="R155" s="33"/>
      <c r="S155" s="76"/>
      <c r="T155" s="77"/>
      <c r="U155" s="46"/>
      <c r="V155" s="76"/>
      <c r="W155" s="76"/>
      <c r="X155" s="76"/>
      <c r="Y155" s="76"/>
      <c r="Z155" s="76"/>
    </row>
    <row r="156" spans="1:26" s="66" customFormat="1" ht="13.5" thickBot="1">
      <c r="A156" s="9" t="s">
        <v>205</v>
      </c>
      <c r="B156" s="10"/>
      <c r="C156" s="10"/>
      <c r="D156" s="10"/>
      <c r="E156" s="10"/>
      <c r="F156" s="11"/>
      <c r="G156" s="10"/>
      <c r="H156" s="10"/>
      <c r="I156" s="10"/>
      <c r="J156" s="10"/>
      <c r="K156" s="10"/>
      <c r="L156" s="12"/>
      <c r="M156" s="12"/>
      <c r="N156" s="10"/>
      <c r="O156" s="13"/>
      <c r="P156" s="13"/>
      <c r="Q156" s="13"/>
      <c r="R156" s="13"/>
      <c r="S156" s="13">
        <f>+S154+S151+S141+S101+S98+S46+S27+S23</f>
        <v>15493009.059999999</v>
      </c>
      <c r="T156" s="14"/>
      <c r="U156" s="15">
        <f t="shared" si="10"/>
        <v>15493009.059999999</v>
      </c>
      <c r="V156" s="13">
        <f>+V154+V151+V141+V101+V98+V46+V27+V23</f>
        <v>11335071</v>
      </c>
      <c r="W156" s="13">
        <f>+W154+W151+W141+W101+W98+W46+W27+W23</f>
        <v>3400000</v>
      </c>
      <c r="X156" s="13">
        <f>+X154+X151+X141+X101+X98+X46+X27+X23</f>
        <v>2256000</v>
      </c>
      <c r="Y156" s="13">
        <f>+Y154+Y151+Y141+Y101+Y98+Y46+Y27+Y23</f>
        <v>1240000</v>
      </c>
      <c r="Z156" s="13">
        <f>+Z154+Z151+Z141+Z101+Z98+Z46+Z27+Z23</f>
        <v>1240000</v>
      </c>
    </row>
    <row r="157" spans="1:26" s="66" customFormat="1" ht="7.5" customHeight="1" thickTop="1">
      <c r="A157" s="38"/>
      <c r="B157" s="30"/>
      <c r="C157" s="30"/>
      <c r="D157" s="30"/>
      <c r="E157" s="30"/>
      <c r="F157" s="31"/>
      <c r="G157" s="30"/>
      <c r="H157" s="30"/>
      <c r="I157" s="30"/>
      <c r="J157" s="30"/>
      <c r="K157" s="30"/>
      <c r="L157" s="40"/>
      <c r="M157" s="40"/>
      <c r="N157" s="30"/>
      <c r="O157" s="33"/>
      <c r="P157" s="33"/>
      <c r="Q157" s="33"/>
      <c r="R157" s="33"/>
      <c r="S157" s="33"/>
      <c r="T157" s="78"/>
      <c r="U157" s="46">
        <f aca="true" t="shared" si="19" ref="U157:U240">+S157-P157</f>
        <v>0</v>
      </c>
      <c r="V157" s="33"/>
      <c r="W157" s="33"/>
      <c r="X157" s="33"/>
      <c r="Y157" s="33"/>
      <c r="Z157" s="33"/>
    </row>
    <row r="158" spans="1:26" s="66" customFormat="1" ht="15">
      <c r="A158" s="102" t="s">
        <v>299</v>
      </c>
      <c r="B158" s="30"/>
      <c r="C158" s="30"/>
      <c r="D158" s="30"/>
      <c r="E158" s="30"/>
      <c r="F158" s="31"/>
      <c r="G158" s="30"/>
      <c r="H158" s="30"/>
      <c r="I158" s="30"/>
      <c r="J158" s="30"/>
      <c r="K158" s="30"/>
      <c r="L158" s="40"/>
      <c r="M158" s="40"/>
      <c r="N158" s="30"/>
      <c r="O158" s="33"/>
      <c r="P158" s="33"/>
      <c r="Q158" s="33"/>
      <c r="R158" s="33"/>
      <c r="S158" s="34"/>
      <c r="T158" s="35"/>
      <c r="U158" s="36">
        <f t="shared" si="19"/>
        <v>0</v>
      </c>
      <c r="V158" s="34"/>
      <c r="W158" s="34"/>
      <c r="X158" s="34"/>
      <c r="Y158" s="34"/>
      <c r="Z158" s="34"/>
    </row>
    <row r="159" spans="1:26" s="66" customFormat="1" ht="12.75">
      <c r="A159" s="90" t="s">
        <v>207</v>
      </c>
      <c r="B159" s="30"/>
      <c r="C159" s="30"/>
      <c r="D159" s="30"/>
      <c r="E159" s="30"/>
      <c r="F159" s="31"/>
      <c r="G159" s="30"/>
      <c r="H159" s="30"/>
      <c r="I159" s="30"/>
      <c r="J159" s="30"/>
      <c r="K159" s="30"/>
      <c r="L159" s="32"/>
      <c r="M159" s="32"/>
      <c r="N159" s="30"/>
      <c r="O159" s="33"/>
      <c r="P159" s="33"/>
      <c r="Q159" s="33"/>
      <c r="R159" s="33"/>
      <c r="S159" s="34"/>
      <c r="T159" s="35"/>
      <c r="U159" s="36">
        <f t="shared" si="19"/>
        <v>0</v>
      </c>
      <c r="V159" s="37">
        <v>125000</v>
      </c>
      <c r="W159" s="37">
        <v>0</v>
      </c>
      <c r="X159" s="37">
        <v>0</v>
      </c>
      <c r="Y159" s="37">
        <v>0</v>
      </c>
      <c r="Z159" s="37">
        <v>0</v>
      </c>
    </row>
    <row r="160" spans="1:26" s="66" customFormat="1" ht="12.75">
      <c r="A160" s="90" t="s">
        <v>208</v>
      </c>
      <c r="B160" s="30"/>
      <c r="C160" s="30"/>
      <c r="D160" s="30"/>
      <c r="E160" s="30"/>
      <c r="F160" s="31"/>
      <c r="G160" s="30"/>
      <c r="H160" s="30"/>
      <c r="I160" s="30"/>
      <c r="J160" s="30"/>
      <c r="K160" s="30"/>
      <c r="L160" s="32"/>
      <c r="M160" s="32"/>
      <c r="N160" s="30"/>
      <c r="O160" s="33"/>
      <c r="P160" s="33"/>
      <c r="Q160" s="33"/>
      <c r="R160" s="33"/>
      <c r="S160" s="34"/>
      <c r="T160" s="35"/>
      <c r="U160" s="36">
        <f t="shared" si="19"/>
        <v>0</v>
      </c>
      <c r="V160" s="37">
        <v>84271</v>
      </c>
      <c r="W160" s="37">
        <v>0</v>
      </c>
      <c r="X160" s="37">
        <v>0</v>
      </c>
      <c r="Y160" s="37">
        <v>0</v>
      </c>
      <c r="Z160" s="37">
        <v>0</v>
      </c>
    </row>
    <row r="161" spans="1:26" s="66" customFormat="1" ht="12.75">
      <c r="A161" s="88" t="s">
        <v>209</v>
      </c>
      <c r="B161" s="30"/>
      <c r="C161" s="30"/>
      <c r="D161" s="30"/>
      <c r="E161" s="30"/>
      <c r="F161" s="31"/>
      <c r="G161" s="30"/>
      <c r="H161" s="30"/>
      <c r="I161" s="30"/>
      <c r="J161" s="30"/>
      <c r="K161" s="30"/>
      <c r="L161" s="32"/>
      <c r="M161" s="32"/>
      <c r="N161" s="30"/>
      <c r="O161" s="33"/>
      <c r="P161" s="33"/>
      <c r="Q161" s="33"/>
      <c r="R161" s="33"/>
      <c r="S161" s="34"/>
      <c r="T161" s="35"/>
      <c r="U161" s="36">
        <f t="shared" si="19"/>
        <v>0</v>
      </c>
      <c r="V161" s="39">
        <v>1280000</v>
      </c>
      <c r="W161" s="37">
        <v>2301000</v>
      </c>
      <c r="X161" s="37">
        <v>1991000</v>
      </c>
      <c r="Y161" s="37">
        <v>1799000</v>
      </c>
      <c r="Z161" s="37">
        <v>483000</v>
      </c>
    </row>
    <row r="162" spans="1:26" s="66" customFormat="1" ht="12.75">
      <c r="A162" s="90" t="s">
        <v>210</v>
      </c>
      <c r="B162" s="30"/>
      <c r="C162" s="30"/>
      <c r="D162" s="30"/>
      <c r="E162" s="30"/>
      <c r="F162" s="31"/>
      <c r="G162" s="30"/>
      <c r="H162" s="30"/>
      <c r="I162" s="30"/>
      <c r="J162" s="30"/>
      <c r="K162" s="30"/>
      <c r="L162" s="32"/>
      <c r="M162" s="32"/>
      <c r="N162" s="30"/>
      <c r="O162" s="33"/>
      <c r="P162" s="33"/>
      <c r="Q162" s="33"/>
      <c r="R162" s="33"/>
      <c r="S162" s="34"/>
      <c r="T162" s="35"/>
      <c r="U162" s="36">
        <f t="shared" si="19"/>
        <v>0</v>
      </c>
      <c r="V162" s="37">
        <v>200000</v>
      </c>
      <c r="W162" s="37">
        <f>2000000-250000</f>
        <v>1750000</v>
      </c>
      <c r="X162" s="37">
        <v>0</v>
      </c>
      <c r="Y162" s="37">
        <v>0</v>
      </c>
      <c r="Z162" s="37">
        <v>0</v>
      </c>
    </row>
    <row r="163" spans="1:26" s="66" customFormat="1" ht="12.75">
      <c r="A163" s="90" t="s">
        <v>211</v>
      </c>
      <c r="B163" s="30"/>
      <c r="C163" s="30"/>
      <c r="D163" s="30"/>
      <c r="E163" s="30"/>
      <c r="F163" s="31"/>
      <c r="G163" s="30"/>
      <c r="H163" s="30"/>
      <c r="I163" s="30"/>
      <c r="J163" s="30"/>
      <c r="K163" s="30"/>
      <c r="L163" s="32"/>
      <c r="M163" s="32"/>
      <c r="N163" s="30"/>
      <c r="O163" s="33"/>
      <c r="P163" s="33"/>
      <c r="Q163" s="33"/>
      <c r="R163" s="33"/>
      <c r="S163" s="34"/>
      <c r="T163" s="35"/>
      <c r="U163" s="36">
        <f t="shared" si="19"/>
        <v>0</v>
      </c>
      <c r="V163" s="37">
        <v>700000</v>
      </c>
      <c r="W163" s="37">
        <v>0</v>
      </c>
      <c r="X163" s="37">
        <v>0</v>
      </c>
      <c r="Y163" s="37">
        <v>0</v>
      </c>
      <c r="Z163" s="37">
        <v>0</v>
      </c>
    </row>
    <row r="164" spans="1:26" s="66" customFormat="1" ht="12.75">
      <c r="A164" s="90" t="s">
        <v>212</v>
      </c>
      <c r="B164" s="30"/>
      <c r="C164" s="30"/>
      <c r="D164" s="30"/>
      <c r="E164" s="30"/>
      <c r="F164" s="31"/>
      <c r="G164" s="30"/>
      <c r="H164" s="30"/>
      <c r="I164" s="30"/>
      <c r="J164" s="30"/>
      <c r="K164" s="30"/>
      <c r="L164" s="32"/>
      <c r="M164" s="32"/>
      <c r="N164" s="30"/>
      <c r="O164" s="33"/>
      <c r="P164" s="33"/>
      <c r="Q164" s="33"/>
      <c r="R164" s="33"/>
      <c r="S164" s="34"/>
      <c r="T164" s="35"/>
      <c r="U164" s="36">
        <f t="shared" si="19"/>
        <v>0</v>
      </c>
      <c r="V164" s="37">
        <v>177000</v>
      </c>
      <c r="W164" s="37">
        <v>177000</v>
      </c>
      <c r="X164" s="37">
        <v>177000</v>
      </c>
      <c r="Y164" s="37">
        <v>177000</v>
      </c>
      <c r="Z164" s="37">
        <v>177000</v>
      </c>
    </row>
    <row r="165" spans="1:26" s="66" customFormat="1" ht="12.75" hidden="1">
      <c r="A165" s="90" t="s">
        <v>213</v>
      </c>
      <c r="B165" s="30"/>
      <c r="C165" s="30"/>
      <c r="D165" s="30"/>
      <c r="E165" s="30"/>
      <c r="F165" s="31"/>
      <c r="G165" s="30"/>
      <c r="H165" s="30"/>
      <c r="I165" s="30"/>
      <c r="J165" s="30"/>
      <c r="K165" s="30"/>
      <c r="L165" s="32"/>
      <c r="M165" s="32"/>
      <c r="N165" s="30"/>
      <c r="O165" s="33"/>
      <c r="P165" s="33"/>
      <c r="Q165" s="33"/>
      <c r="R165" s="33"/>
      <c r="S165" s="34">
        <v>20000</v>
      </c>
      <c r="T165" s="35"/>
      <c r="U165" s="36">
        <f t="shared" si="19"/>
        <v>20000</v>
      </c>
      <c r="V165" s="37">
        <v>0</v>
      </c>
      <c r="W165" s="37">
        <v>0</v>
      </c>
      <c r="X165" s="37">
        <v>0</v>
      </c>
      <c r="Y165" s="37">
        <v>0</v>
      </c>
      <c r="Z165" s="37">
        <v>0</v>
      </c>
    </row>
    <row r="166" spans="1:26" s="66" customFormat="1" ht="12.75">
      <c r="A166" s="90" t="s">
        <v>214</v>
      </c>
      <c r="B166" s="30"/>
      <c r="C166" s="30"/>
      <c r="D166" s="30"/>
      <c r="E166" s="30"/>
      <c r="F166" s="31"/>
      <c r="G166" s="30"/>
      <c r="H166" s="30"/>
      <c r="I166" s="30"/>
      <c r="J166" s="30"/>
      <c r="K166" s="30"/>
      <c r="L166" s="32"/>
      <c r="M166" s="32"/>
      <c r="N166" s="30"/>
      <c r="O166" s="33"/>
      <c r="P166" s="33"/>
      <c r="Q166" s="33"/>
      <c r="R166" s="33"/>
      <c r="S166" s="34"/>
      <c r="T166" s="35"/>
      <c r="U166" s="36">
        <f t="shared" si="19"/>
        <v>0</v>
      </c>
      <c r="V166" s="37">
        <v>150000</v>
      </c>
      <c r="W166" s="37">
        <v>0</v>
      </c>
      <c r="X166" s="37">
        <v>0</v>
      </c>
      <c r="Y166" s="37">
        <v>0</v>
      </c>
      <c r="Z166" s="37">
        <v>0</v>
      </c>
    </row>
    <row r="167" spans="1:26" s="66" customFormat="1" ht="12.75">
      <c r="A167" s="90" t="s">
        <v>215</v>
      </c>
      <c r="B167" s="30"/>
      <c r="C167" s="30"/>
      <c r="D167" s="30"/>
      <c r="E167" s="30"/>
      <c r="F167" s="31"/>
      <c r="G167" s="30"/>
      <c r="H167" s="30"/>
      <c r="I167" s="30"/>
      <c r="J167" s="30"/>
      <c r="K167" s="30"/>
      <c r="L167" s="32"/>
      <c r="M167" s="32"/>
      <c r="N167" s="30"/>
      <c r="O167" s="33"/>
      <c r="P167" s="33"/>
      <c r="Q167" s="33"/>
      <c r="R167" s="33"/>
      <c r="S167" s="34"/>
      <c r="T167" s="35"/>
      <c r="U167" s="36">
        <f t="shared" si="19"/>
        <v>0</v>
      </c>
      <c r="V167" s="37">
        <v>15000</v>
      </c>
      <c r="W167" s="37">
        <v>0</v>
      </c>
      <c r="X167" s="37">
        <v>0</v>
      </c>
      <c r="Y167" s="37">
        <v>0</v>
      </c>
      <c r="Z167" s="37">
        <v>0</v>
      </c>
    </row>
    <row r="168" spans="1:26" s="66" customFormat="1" ht="12.75">
      <c r="A168" s="90" t="s">
        <v>216</v>
      </c>
      <c r="B168" s="30"/>
      <c r="C168" s="30"/>
      <c r="D168" s="30"/>
      <c r="E168" s="30"/>
      <c r="F168" s="31"/>
      <c r="G168" s="30"/>
      <c r="H168" s="30"/>
      <c r="I168" s="30"/>
      <c r="J168" s="30"/>
      <c r="K168" s="30"/>
      <c r="L168" s="32"/>
      <c r="M168" s="32"/>
      <c r="N168" s="30"/>
      <c r="O168" s="33"/>
      <c r="P168" s="33"/>
      <c r="Q168" s="33"/>
      <c r="R168" s="33"/>
      <c r="S168" s="34"/>
      <c r="T168" s="35"/>
      <c r="U168" s="36">
        <f t="shared" si="19"/>
        <v>0</v>
      </c>
      <c r="V168" s="37">
        <v>0</v>
      </c>
      <c r="W168" s="37">
        <v>0</v>
      </c>
      <c r="X168" s="37">
        <v>0</v>
      </c>
      <c r="Y168" s="37">
        <v>310000</v>
      </c>
      <c r="Z168" s="37">
        <v>310000</v>
      </c>
    </row>
    <row r="169" spans="1:26" s="66" customFormat="1" ht="12.75">
      <c r="A169" s="90" t="s">
        <v>217</v>
      </c>
      <c r="B169" s="30"/>
      <c r="C169" s="30"/>
      <c r="D169" s="30"/>
      <c r="E169" s="30"/>
      <c r="F169" s="31"/>
      <c r="G169" s="30"/>
      <c r="H169" s="30"/>
      <c r="I169" s="30"/>
      <c r="J169" s="30"/>
      <c r="K169" s="30"/>
      <c r="L169" s="32"/>
      <c r="M169" s="32"/>
      <c r="N169" s="30"/>
      <c r="O169" s="33"/>
      <c r="P169" s="33"/>
      <c r="Q169" s="33"/>
      <c r="R169" s="33"/>
      <c r="S169" s="34"/>
      <c r="T169" s="35"/>
      <c r="U169" s="36">
        <f t="shared" si="19"/>
        <v>0</v>
      </c>
      <c r="V169" s="37">
        <v>50000</v>
      </c>
      <c r="W169" s="37">
        <v>0</v>
      </c>
      <c r="X169" s="37">
        <v>0</v>
      </c>
      <c r="Y169" s="37">
        <v>0</v>
      </c>
      <c r="Z169" s="37">
        <v>0</v>
      </c>
    </row>
    <row r="170" spans="1:26" s="66" customFormat="1" ht="12.75">
      <c r="A170" s="90" t="s">
        <v>218</v>
      </c>
      <c r="B170" s="30"/>
      <c r="C170" s="30"/>
      <c r="D170" s="30"/>
      <c r="E170" s="30"/>
      <c r="F170" s="31"/>
      <c r="G170" s="30"/>
      <c r="H170" s="30"/>
      <c r="I170" s="30"/>
      <c r="J170" s="30"/>
      <c r="K170" s="30"/>
      <c r="L170" s="32"/>
      <c r="M170" s="32"/>
      <c r="N170" s="30"/>
      <c r="O170" s="33"/>
      <c r="P170" s="33"/>
      <c r="Q170" s="33"/>
      <c r="R170" s="33"/>
      <c r="S170" s="34"/>
      <c r="T170" s="35"/>
      <c r="U170" s="36">
        <f t="shared" si="19"/>
        <v>0</v>
      </c>
      <c r="V170" s="37">
        <v>62000</v>
      </c>
      <c r="W170" s="37">
        <v>62000</v>
      </c>
      <c r="X170" s="37">
        <v>0</v>
      </c>
      <c r="Y170" s="37">
        <v>0</v>
      </c>
      <c r="Z170" s="37">
        <v>0</v>
      </c>
    </row>
    <row r="171" spans="1:26" s="66" customFormat="1" ht="12.75">
      <c r="A171" s="90" t="s">
        <v>219</v>
      </c>
      <c r="B171" s="30"/>
      <c r="C171" s="30"/>
      <c r="D171" s="30"/>
      <c r="E171" s="30"/>
      <c r="F171" s="31"/>
      <c r="G171" s="30"/>
      <c r="H171" s="30"/>
      <c r="I171" s="30"/>
      <c r="J171" s="30"/>
      <c r="K171" s="30"/>
      <c r="L171" s="32"/>
      <c r="M171" s="32"/>
      <c r="N171" s="30"/>
      <c r="O171" s="33"/>
      <c r="P171" s="33"/>
      <c r="Q171" s="33"/>
      <c r="R171" s="33"/>
      <c r="S171" s="34"/>
      <c r="T171" s="35"/>
      <c r="U171" s="36">
        <f t="shared" si="19"/>
        <v>0</v>
      </c>
      <c r="V171" s="37">
        <v>0</v>
      </c>
      <c r="W171" s="37">
        <v>0</v>
      </c>
      <c r="X171" s="37">
        <v>0</v>
      </c>
      <c r="Y171" s="37">
        <v>150000</v>
      </c>
      <c r="Z171" s="37">
        <v>150000</v>
      </c>
    </row>
    <row r="172" spans="1:26" s="66" customFormat="1" ht="12.75">
      <c r="A172" s="90" t="s">
        <v>220</v>
      </c>
      <c r="B172" s="30"/>
      <c r="C172" s="30"/>
      <c r="D172" s="30"/>
      <c r="E172" s="30"/>
      <c r="F172" s="31"/>
      <c r="G172" s="30"/>
      <c r="H172" s="30"/>
      <c r="I172" s="30"/>
      <c r="J172" s="30"/>
      <c r="K172" s="30"/>
      <c r="L172" s="32"/>
      <c r="M172" s="32"/>
      <c r="N172" s="30"/>
      <c r="O172" s="33"/>
      <c r="P172" s="33"/>
      <c r="Q172" s="33"/>
      <c r="R172" s="33"/>
      <c r="S172" s="34"/>
      <c r="T172" s="35"/>
      <c r="U172" s="36">
        <f t="shared" si="19"/>
        <v>0</v>
      </c>
      <c r="V172" s="39">
        <f>300000+150000</f>
        <v>450000</v>
      </c>
      <c r="W172" s="37">
        <v>470000</v>
      </c>
      <c r="X172" s="37">
        <v>200000</v>
      </c>
      <c r="Y172" s="37">
        <v>0</v>
      </c>
      <c r="Z172" s="37">
        <v>0</v>
      </c>
    </row>
    <row r="173" spans="1:26" s="66" customFormat="1" ht="12.75">
      <c r="A173" s="90" t="s">
        <v>221</v>
      </c>
      <c r="B173" s="30"/>
      <c r="C173" s="30"/>
      <c r="D173" s="30"/>
      <c r="E173" s="30"/>
      <c r="F173" s="31"/>
      <c r="G173" s="30"/>
      <c r="H173" s="30"/>
      <c r="I173" s="30"/>
      <c r="J173" s="30"/>
      <c r="K173" s="30"/>
      <c r="L173" s="32"/>
      <c r="M173" s="32"/>
      <c r="N173" s="30"/>
      <c r="O173" s="33"/>
      <c r="P173" s="33"/>
      <c r="Q173" s="33"/>
      <c r="R173" s="33"/>
      <c r="S173" s="34"/>
      <c r="T173" s="35"/>
      <c r="U173" s="36">
        <f t="shared" si="19"/>
        <v>0</v>
      </c>
      <c r="V173" s="37">
        <v>8000</v>
      </c>
      <c r="W173" s="37">
        <v>0</v>
      </c>
      <c r="X173" s="37">
        <v>0</v>
      </c>
      <c r="Y173" s="37">
        <v>0</v>
      </c>
      <c r="Z173" s="37">
        <v>0</v>
      </c>
    </row>
    <row r="174" spans="1:26" s="66" customFormat="1" ht="12.75">
      <c r="A174" s="90" t="s">
        <v>222</v>
      </c>
      <c r="B174" s="30"/>
      <c r="C174" s="30"/>
      <c r="D174" s="30"/>
      <c r="E174" s="30"/>
      <c r="F174" s="31"/>
      <c r="G174" s="30"/>
      <c r="H174" s="30"/>
      <c r="I174" s="30"/>
      <c r="J174" s="30"/>
      <c r="K174" s="30"/>
      <c r="L174" s="32"/>
      <c r="M174" s="32"/>
      <c r="N174" s="30"/>
      <c r="O174" s="33"/>
      <c r="P174" s="33"/>
      <c r="Q174" s="33"/>
      <c r="R174" s="33"/>
      <c r="S174" s="34"/>
      <c r="T174" s="35"/>
      <c r="U174" s="36">
        <f t="shared" si="19"/>
        <v>0</v>
      </c>
      <c r="V174" s="37">
        <v>40000</v>
      </c>
      <c r="W174" s="37">
        <v>40000</v>
      </c>
      <c r="X174" s="37">
        <v>40000</v>
      </c>
      <c r="Y174" s="37">
        <v>0</v>
      </c>
      <c r="Z174" s="37">
        <v>0</v>
      </c>
    </row>
    <row r="175" spans="1:26" s="66" customFormat="1" ht="12.75">
      <c r="A175" s="90" t="s">
        <v>223</v>
      </c>
      <c r="B175" s="30"/>
      <c r="C175" s="30"/>
      <c r="D175" s="30"/>
      <c r="E175" s="30"/>
      <c r="F175" s="31"/>
      <c r="G175" s="30"/>
      <c r="H175" s="30"/>
      <c r="I175" s="30"/>
      <c r="J175" s="30"/>
      <c r="K175" s="30"/>
      <c r="L175" s="32"/>
      <c r="M175" s="32"/>
      <c r="N175" s="30"/>
      <c r="O175" s="33"/>
      <c r="P175" s="33"/>
      <c r="Q175" s="33"/>
      <c r="R175" s="33"/>
      <c r="S175" s="34"/>
      <c r="T175" s="35"/>
      <c r="U175" s="36">
        <f t="shared" si="19"/>
        <v>0</v>
      </c>
      <c r="V175" s="37">
        <v>100000</v>
      </c>
      <c r="W175" s="37">
        <v>0</v>
      </c>
      <c r="X175" s="37">
        <v>0</v>
      </c>
      <c r="Y175" s="37">
        <v>0</v>
      </c>
      <c r="Z175" s="37">
        <v>0</v>
      </c>
    </row>
    <row r="176" spans="1:26" s="66" customFormat="1" ht="12.75">
      <c r="A176" s="90" t="s">
        <v>224</v>
      </c>
      <c r="B176" s="30"/>
      <c r="C176" s="30"/>
      <c r="D176" s="30"/>
      <c r="E176" s="30"/>
      <c r="F176" s="31"/>
      <c r="G176" s="30"/>
      <c r="H176" s="30"/>
      <c r="I176" s="30"/>
      <c r="J176" s="30"/>
      <c r="K176" s="30"/>
      <c r="L176" s="32"/>
      <c r="M176" s="32"/>
      <c r="N176" s="30"/>
      <c r="O176" s="33"/>
      <c r="P176" s="33"/>
      <c r="Q176" s="33"/>
      <c r="R176" s="33"/>
      <c r="S176" s="34"/>
      <c r="T176" s="35"/>
      <c r="U176" s="36">
        <f t="shared" si="19"/>
        <v>0</v>
      </c>
      <c r="V176" s="37">
        <v>50000</v>
      </c>
      <c r="W176" s="37">
        <v>60000</v>
      </c>
      <c r="X176" s="37">
        <v>54000</v>
      </c>
      <c r="Y176" s="37">
        <v>60000</v>
      </c>
      <c r="Z176" s="37">
        <v>24000</v>
      </c>
    </row>
    <row r="177" spans="1:26" s="66" customFormat="1" ht="12.75">
      <c r="A177" s="90" t="s">
        <v>225</v>
      </c>
      <c r="B177" s="30"/>
      <c r="C177" s="30"/>
      <c r="D177" s="30"/>
      <c r="E177" s="30"/>
      <c r="F177" s="31"/>
      <c r="G177" s="30"/>
      <c r="H177" s="30"/>
      <c r="I177" s="30"/>
      <c r="J177" s="30"/>
      <c r="K177" s="30"/>
      <c r="L177" s="32"/>
      <c r="M177" s="32"/>
      <c r="N177" s="30"/>
      <c r="O177" s="33"/>
      <c r="P177" s="33"/>
      <c r="Q177" s="33"/>
      <c r="R177" s="33"/>
      <c r="S177" s="34"/>
      <c r="T177" s="35"/>
      <c r="U177" s="36">
        <f t="shared" si="19"/>
        <v>0</v>
      </c>
      <c r="V177" s="37">
        <v>76000</v>
      </c>
      <c r="W177" s="37">
        <v>48000</v>
      </c>
      <c r="X177" s="37">
        <v>48000</v>
      </c>
      <c r="Y177" s="37">
        <v>48000</v>
      </c>
      <c r="Z177" s="37">
        <v>64000</v>
      </c>
    </row>
    <row r="178" spans="1:26" s="66" customFormat="1" ht="12.75">
      <c r="A178" s="90" t="s">
        <v>226</v>
      </c>
      <c r="B178" s="30"/>
      <c r="C178" s="30"/>
      <c r="D178" s="30"/>
      <c r="E178" s="30"/>
      <c r="F178" s="31"/>
      <c r="G178" s="30"/>
      <c r="H178" s="30"/>
      <c r="I178" s="30"/>
      <c r="J178" s="30"/>
      <c r="K178" s="30"/>
      <c r="L178" s="32"/>
      <c r="M178" s="32"/>
      <c r="N178" s="30"/>
      <c r="O178" s="33"/>
      <c r="P178" s="33"/>
      <c r="Q178" s="33"/>
      <c r="R178" s="33"/>
      <c r="S178" s="34"/>
      <c r="T178" s="35"/>
      <c r="U178" s="36">
        <f t="shared" si="19"/>
        <v>0</v>
      </c>
      <c r="V178" s="37">
        <v>38000</v>
      </c>
      <c r="W178" s="37">
        <v>13000</v>
      </c>
      <c r="X178" s="37">
        <v>12000</v>
      </c>
      <c r="Y178" s="37">
        <v>12000</v>
      </c>
      <c r="Z178" s="37">
        <v>0</v>
      </c>
    </row>
    <row r="179" spans="1:26" s="66" customFormat="1" ht="12.75">
      <c r="A179" s="90" t="s">
        <v>227</v>
      </c>
      <c r="B179" s="30"/>
      <c r="C179" s="30"/>
      <c r="D179" s="30"/>
      <c r="E179" s="30"/>
      <c r="F179" s="31"/>
      <c r="G179" s="30"/>
      <c r="H179" s="30"/>
      <c r="I179" s="30"/>
      <c r="J179" s="30"/>
      <c r="K179" s="30"/>
      <c r="L179" s="32"/>
      <c r="M179" s="32"/>
      <c r="N179" s="30"/>
      <c r="O179" s="33"/>
      <c r="P179" s="33"/>
      <c r="Q179" s="33"/>
      <c r="R179" s="33"/>
      <c r="S179" s="34"/>
      <c r="T179" s="35"/>
      <c r="U179" s="36">
        <f t="shared" si="19"/>
        <v>0</v>
      </c>
      <c r="V179" s="37">
        <v>150000</v>
      </c>
      <c r="W179" s="37">
        <v>150000</v>
      </c>
      <c r="X179" s="37">
        <v>150000</v>
      </c>
      <c r="Y179" s="37">
        <v>0</v>
      </c>
      <c r="Z179" s="37">
        <v>0</v>
      </c>
    </row>
    <row r="180" spans="1:26" s="66" customFormat="1" ht="12.75">
      <c r="A180" s="90" t="s">
        <v>228</v>
      </c>
      <c r="B180" s="30"/>
      <c r="C180" s="30"/>
      <c r="D180" s="30"/>
      <c r="E180" s="30"/>
      <c r="F180" s="31"/>
      <c r="G180" s="30"/>
      <c r="H180" s="30"/>
      <c r="I180" s="30"/>
      <c r="J180" s="30"/>
      <c r="K180" s="30"/>
      <c r="L180" s="32"/>
      <c r="M180" s="32"/>
      <c r="N180" s="30"/>
      <c r="O180" s="33"/>
      <c r="P180" s="33"/>
      <c r="Q180" s="33"/>
      <c r="R180" s="33"/>
      <c r="S180" s="34"/>
      <c r="T180" s="35"/>
      <c r="U180" s="36">
        <f t="shared" si="19"/>
        <v>0</v>
      </c>
      <c r="V180" s="37">
        <v>400000</v>
      </c>
      <c r="W180" s="37"/>
      <c r="X180" s="37"/>
      <c r="Y180" s="37"/>
      <c r="Z180" s="37"/>
    </row>
    <row r="181" spans="1:26" s="66" customFormat="1" ht="12.75">
      <c r="A181" s="90" t="s">
        <v>229</v>
      </c>
      <c r="B181" s="30"/>
      <c r="C181" s="30"/>
      <c r="D181" s="30"/>
      <c r="E181" s="30"/>
      <c r="F181" s="31"/>
      <c r="G181" s="30"/>
      <c r="H181" s="30"/>
      <c r="I181" s="30"/>
      <c r="J181" s="30"/>
      <c r="K181" s="30"/>
      <c r="L181" s="32"/>
      <c r="M181" s="32"/>
      <c r="N181" s="30"/>
      <c r="O181" s="33"/>
      <c r="P181" s="33"/>
      <c r="Q181" s="33"/>
      <c r="R181" s="33"/>
      <c r="S181" s="34"/>
      <c r="T181" s="35"/>
      <c r="U181" s="36"/>
      <c r="V181" s="37"/>
      <c r="W181" s="37">
        <v>300000</v>
      </c>
      <c r="X181" s="37"/>
      <c r="Y181" s="37"/>
      <c r="Z181" s="37"/>
    </row>
    <row r="182" spans="1:26" s="66" customFormat="1" ht="12.75">
      <c r="A182" s="90" t="s">
        <v>230</v>
      </c>
      <c r="B182" s="30"/>
      <c r="C182" s="30"/>
      <c r="D182" s="30"/>
      <c r="E182" s="30"/>
      <c r="F182" s="31"/>
      <c r="G182" s="30"/>
      <c r="H182" s="30"/>
      <c r="I182" s="30"/>
      <c r="J182" s="30"/>
      <c r="K182" s="30"/>
      <c r="L182" s="32"/>
      <c r="M182" s="32"/>
      <c r="N182" s="30"/>
      <c r="O182" s="33"/>
      <c r="P182" s="33"/>
      <c r="Q182" s="33"/>
      <c r="R182" s="33"/>
      <c r="S182" s="34"/>
      <c r="T182" s="35"/>
      <c r="U182" s="36"/>
      <c r="V182" s="37">
        <v>185000</v>
      </c>
      <c r="W182" s="37">
        <v>175000</v>
      </c>
      <c r="X182" s="37">
        <v>80000</v>
      </c>
      <c r="Y182" s="37"/>
      <c r="Z182" s="37"/>
    </row>
    <row r="183" spans="1:26" s="66" customFormat="1" ht="12.75">
      <c r="A183" s="90" t="s">
        <v>231</v>
      </c>
      <c r="B183" s="30"/>
      <c r="C183" s="30"/>
      <c r="D183" s="30"/>
      <c r="E183" s="30"/>
      <c r="F183" s="31"/>
      <c r="G183" s="30"/>
      <c r="H183" s="30"/>
      <c r="I183" s="30"/>
      <c r="J183" s="30"/>
      <c r="K183" s="30"/>
      <c r="L183" s="32"/>
      <c r="M183" s="32"/>
      <c r="N183" s="30"/>
      <c r="O183" s="33"/>
      <c r="P183" s="33"/>
      <c r="Q183" s="33"/>
      <c r="R183" s="33"/>
      <c r="S183" s="34"/>
      <c r="T183" s="35"/>
      <c r="U183" s="36"/>
      <c r="V183" s="37">
        <v>100000</v>
      </c>
      <c r="W183" s="37">
        <v>100000</v>
      </c>
      <c r="X183" s="37">
        <v>50000</v>
      </c>
      <c r="Y183" s="37">
        <v>50000</v>
      </c>
      <c r="Z183" s="37">
        <v>50000</v>
      </c>
    </row>
    <row r="184" spans="1:26" s="66" customFormat="1" ht="12.75">
      <c r="A184" s="90" t="s">
        <v>232</v>
      </c>
      <c r="B184" s="30"/>
      <c r="C184" s="30"/>
      <c r="D184" s="30"/>
      <c r="E184" s="30"/>
      <c r="F184" s="31"/>
      <c r="G184" s="30"/>
      <c r="H184" s="30"/>
      <c r="I184" s="30"/>
      <c r="J184" s="30"/>
      <c r="K184" s="30"/>
      <c r="L184" s="32"/>
      <c r="M184" s="32"/>
      <c r="N184" s="30"/>
      <c r="O184" s="33"/>
      <c r="P184" s="33"/>
      <c r="Q184" s="33"/>
      <c r="R184" s="33"/>
      <c r="S184" s="34"/>
      <c r="T184" s="35"/>
      <c r="U184" s="36"/>
      <c r="V184" s="37">
        <v>325000</v>
      </c>
      <c r="W184" s="37"/>
      <c r="X184" s="37"/>
      <c r="Y184" s="37"/>
      <c r="Z184" s="37"/>
    </row>
    <row r="185" spans="1:26" s="66" customFormat="1" ht="12.75">
      <c r="A185" s="90" t="s">
        <v>233</v>
      </c>
      <c r="B185" s="30"/>
      <c r="C185" s="30"/>
      <c r="D185" s="30"/>
      <c r="E185" s="30"/>
      <c r="F185" s="31"/>
      <c r="G185" s="30"/>
      <c r="H185" s="30"/>
      <c r="I185" s="30"/>
      <c r="J185" s="30"/>
      <c r="K185" s="30"/>
      <c r="L185" s="32"/>
      <c r="M185" s="32"/>
      <c r="N185" s="30"/>
      <c r="O185" s="33"/>
      <c r="P185" s="33"/>
      <c r="Q185" s="33"/>
      <c r="R185" s="33"/>
      <c r="S185" s="34"/>
      <c r="T185" s="35"/>
      <c r="U185" s="36"/>
      <c r="V185" s="37">
        <v>20000</v>
      </c>
      <c r="W185" s="37"/>
      <c r="X185" s="37"/>
      <c r="Y185" s="37"/>
      <c r="Z185" s="37"/>
    </row>
    <row r="186" spans="1:26" s="66" customFormat="1" ht="13.5" thickBot="1">
      <c r="A186" s="13" t="s">
        <v>300</v>
      </c>
      <c r="B186" s="16"/>
      <c r="C186" s="16"/>
      <c r="D186" s="16"/>
      <c r="E186" s="16"/>
      <c r="F186" s="17"/>
      <c r="G186" s="3"/>
      <c r="H186" s="16"/>
      <c r="I186" s="16"/>
      <c r="J186" s="16"/>
      <c r="K186" s="16"/>
      <c r="L186" s="4"/>
      <c r="M186" s="4"/>
      <c r="N186" s="16"/>
      <c r="O186" s="18"/>
      <c r="P186" s="18"/>
      <c r="Q186" s="18"/>
      <c r="R186" s="18"/>
      <c r="S186" s="13">
        <f>+SUM(S159:S185)</f>
        <v>20000</v>
      </c>
      <c r="T186" s="14"/>
      <c r="U186" s="7">
        <f t="shared" si="19"/>
        <v>20000</v>
      </c>
      <c r="V186" s="13">
        <f>+SUM(V159:V185)</f>
        <v>4785271</v>
      </c>
      <c r="W186" s="13">
        <f>+SUM(W159:W185)</f>
        <v>5646000</v>
      </c>
      <c r="X186" s="13">
        <f>+SUM(X159:X185)</f>
        <v>2802000</v>
      </c>
      <c r="Y186" s="13">
        <f>+SUM(Y159:Y185)</f>
        <v>2606000</v>
      </c>
      <c r="Z186" s="13">
        <f>+SUM(Z159:Z185)</f>
        <v>1258000</v>
      </c>
    </row>
    <row r="187" spans="1:26" s="66" customFormat="1" ht="14.25" thickBot="1" thickTop="1">
      <c r="A187" s="13" t="s">
        <v>301</v>
      </c>
      <c r="B187" s="16">
        <f>SUM(B23,B27,B46,B98,B101,B141,B151,B154)</f>
        <v>15756756</v>
      </c>
      <c r="C187" s="16">
        <f>SUM(C23,C27,C46,C98,C101,C141,C151,C154)</f>
        <v>11071162.599999998</v>
      </c>
      <c r="D187" s="16">
        <f>SUM(D23,D27,D46,D98,D101,D141,D151,D154)</f>
        <v>-4685593.399999999</v>
      </c>
      <c r="E187" s="16">
        <f>SUM(E23,E27,E46,E98,E101,E141,E151,E154)</f>
        <v>3501289.55</v>
      </c>
      <c r="F187" s="17"/>
      <c r="G187" s="3"/>
      <c r="H187" s="16">
        <f>SUM(H23,H27,H46,H98,H101,H141,H151,H154)</f>
        <v>16572829</v>
      </c>
      <c r="I187" s="16">
        <f>SUM(I23,I27,I46,I98,I101,I141,I151,I154)</f>
        <v>3862000</v>
      </c>
      <c r="J187" s="16">
        <f>SUM(J23,J27,J46,J98,J101,J141,J151,J154)</f>
        <v>3309000</v>
      </c>
      <c r="K187" s="16">
        <f>SUM(K23,K27,K46,K98,K101,K141,K151,K154)</f>
        <v>3168000</v>
      </c>
      <c r="L187" s="4"/>
      <c r="M187" s="4"/>
      <c r="N187" s="16">
        <f>SUM(N23,N27,N46,N98,N101,N141,N151,N154)</f>
        <v>20277335</v>
      </c>
      <c r="O187" s="18">
        <f>SUM(O23,O27,O46,O98,O101,O141,O151,O154)</f>
        <v>3501289.55</v>
      </c>
      <c r="P187" s="18">
        <f>SUM(P23,P27,P46,P98,P101,P141,P151,P154)+P186</f>
        <v>23778624.55</v>
      </c>
      <c r="Q187" s="18">
        <f>SUM(Q23,Q27,Q46,Q98,Q101,Q141,Q151,Q154)+Q186</f>
        <v>3233632.3099999996</v>
      </c>
      <c r="R187" s="18">
        <f>SUM(R23,R27,R46,R98,R101,R141,R151,R154)+R186</f>
        <v>-20544992.24</v>
      </c>
      <c r="S187" s="13">
        <f>SUM(S23,S27,S46,S98,S101,S141,S151,S154)+S186</f>
        <v>15513009.059999999</v>
      </c>
      <c r="T187" s="14">
        <f>Q187/P187</f>
        <v>0.1359890393660301</v>
      </c>
      <c r="U187" s="7">
        <f t="shared" si="19"/>
        <v>-8265615.490000002</v>
      </c>
      <c r="V187" s="13">
        <f>SUM(V23,V27,V46,V98,V101,V141,V151,V154)+V186</f>
        <v>16120342</v>
      </c>
      <c r="W187" s="13">
        <f>SUM(W23,W27,W46,W98,W101,W141,W151,W154)+W186</f>
        <v>9046000</v>
      </c>
      <c r="X187" s="13">
        <f>SUM(X23,X27,X46,X98,X101,X141,X151,X154)+X186</f>
        <v>5058000</v>
      </c>
      <c r="Y187" s="13">
        <f>SUM(Y23,Y27,Y46,Y98,Y101,Y141,Y151,Y154)+Y186</f>
        <v>3846000</v>
      </c>
      <c r="Z187" s="13">
        <f>SUM(Z23,Z27,Z46,Z98,Z101,Z141,Z151,Z154)+Z186</f>
        <v>2498000</v>
      </c>
    </row>
    <row r="188" spans="1:26" ht="13.5" hidden="1" outlineLevel="1" thickTop="1">
      <c r="A188" s="41" t="s">
        <v>234</v>
      </c>
      <c r="B188" s="42">
        <v>0</v>
      </c>
      <c r="C188" s="42">
        <v>-6522.55</v>
      </c>
      <c r="D188" s="42">
        <f aca="true" t="shared" si="20" ref="D188:D215">C188-B188</f>
        <v>-6522.55</v>
      </c>
      <c r="E188" s="42">
        <v>0</v>
      </c>
      <c r="F188" s="43"/>
      <c r="G188" s="42"/>
      <c r="H188" s="42">
        <v>0</v>
      </c>
      <c r="I188" s="42">
        <v>0</v>
      </c>
      <c r="J188" s="42">
        <v>0</v>
      </c>
      <c r="K188" s="42">
        <v>0</v>
      </c>
      <c r="O188" s="45">
        <v>0</v>
      </c>
      <c r="P188" s="46">
        <f>N188+O188</f>
        <v>0</v>
      </c>
      <c r="Q188" s="47">
        <v>0</v>
      </c>
      <c r="R188" s="46">
        <f aca="true" t="shared" si="21" ref="R188:R215">+Q188-P188</f>
        <v>0</v>
      </c>
      <c r="S188" s="46">
        <v>0</v>
      </c>
      <c r="T188" s="59">
        <v>0</v>
      </c>
      <c r="U188" s="46">
        <f t="shared" si="19"/>
        <v>0</v>
      </c>
      <c r="V188" s="46"/>
      <c r="W188" s="46"/>
      <c r="X188" s="46"/>
      <c r="Y188" s="46"/>
      <c r="Z188" s="46"/>
    </row>
    <row r="189" spans="1:26" ht="12.75" hidden="1" outlineLevel="1">
      <c r="A189" s="41" t="s">
        <v>235</v>
      </c>
      <c r="B189" s="42">
        <v>779000</v>
      </c>
      <c r="C189" s="42">
        <v>136926.17</v>
      </c>
      <c r="D189" s="42">
        <f t="shared" si="20"/>
        <v>-642073.83</v>
      </c>
      <c r="E189" s="42">
        <v>642074</v>
      </c>
      <c r="F189" s="43" t="s">
        <v>236</v>
      </c>
      <c r="G189" s="42"/>
      <c r="H189" s="42">
        <v>150000</v>
      </c>
      <c r="I189" s="42">
        <v>0</v>
      </c>
      <c r="J189" s="42">
        <v>0</v>
      </c>
      <c r="K189" s="42">
        <v>0</v>
      </c>
      <c r="N189" s="44">
        <v>150000</v>
      </c>
      <c r="O189" s="45">
        <v>642074</v>
      </c>
      <c r="P189" s="46">
        <f aca="true" t="shared" si="22" ref="P189:P214">N189+O189</f>
        <v>792074</v>
      </c>
      <c r="Q189" s="47">
        <v>874</v>
      </c>
      <c r="R189" s="46">
        <f t="shared" si="21"/>
        <v>-791200</v>
      </c>
      <c r="S189" s="46">
        <v>792074</v>
      </c>
      <c r="T189" s="59">
        <f>Q189/P189</f>
        <v>0.0011034322550670772</v>
      </c>
      <c r="U189" s="46">
        <f t="shared" si="19"/>
        <v>0</v>
      </c>
      <c r="V189" s="46"/>
      <c r="W189" s="46"/>
      <c r="X189" s="46"/>
      <c r="Y189" s="46"/>
      <c r="Z189" s="46"/>
    </row>
    <row r="190" spans="1:26" ht="12.75" hidden="1" outlineLevel="1">
      <c r="A190" s="41" t="s">
        <v>237</v>
      </c>
      <c r="B190" s="42">
        <v>580000</v>
      </c>
      <c r="C190" s="42">
        <v>1158390.88</v>
      </c>
      <c r="D190" s="42">
        <f t="shared" si="20"/>
        <v>578390.8799999999</v>
      </c>
      <c r="E190" s="42">
        <v>0</v>
      </c>
      <c r="F190" s="43"/>
      <c r="G190" s="42"/>
      <c r="H190" s="42">
        <v>900000</v>
      </c>
      <c r="I190" s="42">
        <v>0</v>
      </c>
      <c r="J190" s="42">
        <v>0</v>
      </c>
      <c r="K190" s="42">
        <v>0</v>
      </c>
      <c r="N190" s="44">
        <v>900000</v>
      </c>
      <c r="O190" s="45">
        <v>0</v>
      </c>
      <c r="P190" s="46">
        <f t="shared" si="22"/>
        <v>900000</v>
      </c>
      <c r="Q190" s="47">
        <v>510244</v>
      </c>
      <c r="R190" s="46">
        <f t="shared" si="21"/>
        <v>-389756</v>
      </c>
      <c r="S190" s="46">
        <v>1139500</v>
      </c>
      <c r="T190" s="59">
        <f>Q190/P190</f>
        <v>0.5669377777777778</v>
      </c>
      <c r="U190" s="46">
        <f t="shared" si="19"/>
        <v>239500</v>
      </c>
      <c r="V190" s="46"/>
      <c r="W190" s="46"/>
      <c r="X190" s="46"/>
      <c r="Y190" s="46"/>
      <c r="Z190" s="46"/>
    </row>
    <row r="191" spans="1:26" ht="12.75" hidden="1" outlineLevel="1">
      <c r="A191" s="41" t="s">
        <v>238</v>
      </c>
      <c r="B191" s="42"/>
      <c r="C191" s="42"/>
      <c r="D191" s="42"/>
      <c r="E191" s="42">
        <v>0</v>
      </c>
      <c r="F191" s="43"/>
      <c r="G191" s="42"/>
      <c r="H191" s="42"/>
      <c r="I191" s="42"/>
      <c r="J191" s="42"/>
      <c r="K191" s="42"/>
      <c r="N191" s="44">
        <v>0</v>
      </c>
      <c r="O191" s="45">
        <v>0</v>
      </c>
      <c r="P191" s="46">
        <f t="shared" si="22"/>
        <v>0</v>
      </c>
      <c r="Q191" s="47">
        <v>0</v>
      </c>
      <c r="R191" s="46">
        <f t="shared" si="21"/>
        <v>0</v>
      </c>
      <c r="S191" s="46">
        <v>0</v>
      </c>
      <c r="T191" s="59">
        <v>0</v>
      </c>
      <c r="U191" s="46">
        <f t="shared" si="19"/>
        <v>0</v>
      </c>
      <c r="V191" s="46"/>
      <c r="W191" s="46"/>
      <c r="X191" s="46"/>
      <c r="Y191" s="46"/>
      <c r="Z191" s="46"/>
    </row>
    <row r="192" spans="1:26" ht="12.75" hidden="1" outlineLevel="1">
      <c r="A192" s="41" t="s">
        <v>239</v>
      </c>
      <c r="B192" s="42">
        <v>100000</v>
      </c>
      <c r="C192" s="42">
        <v>283712.4</v>
      </c>
      <c r="D192" s="42">
        <f t="shared" si="20"/>
        <v>183712.40000000002</v>
      </c>
      <c r="E192" s="42">
        <v>0</v>
      </c>
      <c r="F192" s="43"/>
      <c r="G192" s="42"/>
      <c r="H192" s="42">
        <v>100000</v>
      </c>
      <c r="I192" s="42">
        <v>0</v>
      </c>
      <c r="J192" s="42">
        <v>0</v>
      </c>
      <c r="K192" s="42">
        <v>0</v>
      </c>
      <c r="N192" s="44">
        <v>100000</v>
      </c>
      <c r="O192" s="45">
        <v>0</v>
      </c>
      <c r="P192" s="46">
        <f t="shared" si="22"/>
        <v>100000</v>
      </c>
      <c r="Q192" s="47">
        <v>23851</v>
      </c>
      <c r="R192" s="46">
        <f t="shared" si="21"/>
        <v>-76149</v>
      </c>
      <c r="S192" s="46">
        <v>100000</v>
      </c>
      <c r="T192" s="59">
        <f aca="true" t="shared" si="23" ref="T192:T202">Q192/P192</f>
        <v>0.23851</v>
      </c>
      <c r="U192" s="46">
        <f t="shared" si="19"/>
        <v>0</v>
      </c>
      <c r="V192" s="46"/>
      <c r="W192" s="46"/>
      <c r="X192" s="46"/>
      <c r="Y192" s="46"/>
      <c r="Z192" s="46"/>
    </row>
    <row r="193" spans="1:26" ht="12.75" hidden="1" outlineLevel="1">
      <c r="A193" s="41" t="s">
        <v>240</v>
      </c>
      <c r="B193" s="42">
        <v>200000</v>
      </c>
      <c r="C193" s="42">
        <v>2190.23</v>
      </c>
      <c r="D193" s="42">
        <f t="shared" si="20"/>
        <v>-197809.77</v>
      </c>
      <c r="E193" s="42">
        <v>197810</v>
      </c>
      <c r="F193" s="43" t="s">
        <v>241</v>
      </c>
      <c r="G193" s="42"/>
      <c r="H193" s="42">
        <v>100000</v>
      </c>
      <c r="I193" s="42">
        <v>0</v>
      </c>
      <c r="J193" s="42">
        <v>0</v>
      </c>
      <c r="K193" s="42">
        <v>0</v>
      </c>
      <c r="N193" s="44">
        <v>100000</v>
      </c>
      <c r="O193" s="45">
        <v>197810</v>
      </c>
      <c r="P193" s="46">
        <f t="shared" si="22"/>
        <v>297810</v>
      </c>
      <c r="Q193" s="47">
        <v>213875</v>
      </c>
      <c r="R193" s="46">
        <f t="shared" si="21"/>
        <v>-83935</v>
      </c>
      <c r="S193" s="46">
        <v>287310</v>
      </c>
      <c r="T193" s="59">
        <f t="shared" si="23"/>
        <v>0.7181592290386488</v>
      </c>
      <c r="U193" s="46">
        <f t="shared" si="19"/>
        <v>-10500</v>
      </c>
      <c r="V193" s="46"/>
      <c r="W193" s="46"/>
      <c r="X193" s="46"/>
      <c r="Y193" s="46"/>
      <c r="Z193" s="46"/>
    </row>
    <row r="194" spans="1:26" ht="12.75" hidden="1" outlineLevel="1">
      <c r="A194" s="41" t="s">
        <v>242</v>
      </c>
      <c r="B194" s="42">
        <v>700000</v>
      </c>
      <c r="C194" s="42">
        <v>1025104.11</v>
      </c>
      <c r="D194" s="42">
        <f t="shared" si="20"/>
        <v>325104.11</v>
      </c>
      <c r="E194" s="42">
        <v>0</v>
      </c>
      <c r="F194" s="43"/>
      <c r="G194" s="42"/>
      <c r="H194" s="42">
        <v>900000</v>
      </c>
      <c r="I194" s="42">
        <v>0</v>
      </c>
      <c r="J194" s="42">
        <v>0</v>
      </c>
      <c r="K194" s="42">
        <v>0</v>
      </c>
      <c r="N194" s="44">
        <v>900000</v>
      </c>
      <c r="O194" s="45">
        <v>0</v>
      </c>
      <c r="P194" s="46">
        <f t="shared" si="22"/>
        <v>900000</v>
      </c>
      <c r="Q194" s="47">
        <v>252967</v>
      </c>
      <c r="R194" s="46">
        <f t="shared" si="21"/>
        <v>-647033</v>
      </c>
      <c r="S194" s="46">
        <v>900000</v>
      </c>
      <c r="T194" s="59">
        <f t="shared" si="23"/>
        <v>0.28107444444444446</v>
      </c>
      <c r="U194" s="46">
        <f t="shared" si="19"/>
        <v>0</v>
      </c>
      <c r="V194" s="46"/>
      <c r="W194" s="46"/>
      <c r="X194" s="46"/>
      <c r="Y194" s="46"/>
      <c r="Z194" s="46"/>
    </row>
    <row r="195" spans="1:26" ht="12.75" hidden="1" outlineLevel="1">
      <c r="A195" s="41" t="s">
        <v>243</v>
      </c>
      <c r="B195" s="42">
        <v>100000</v>
      </c>
      <c r="C195" s="42">
        <v>102012.78</v>
      </c>
      <c r="D195" s="42">
        <f t="shared" si="20"/>
        <v>2012.7799999999988</v>
      </c>
      <c r="E195" s="42">
        <v>0</v>
      </c>
      <c r="F195" s="43"/>
      <c r="G195" s="42"/>
      <c r="H195" s="42">
        <v>100000</v>
      </c>
      <c r="I195" s="42">
        <v>0</v>
      </c>
      <c r="J195" s="42">
        <v>0</v>
      </c>
      <c r="K195" s="42">
        <v>0</v>
      </c>
      <c r="N195" s="44">
        <v>100000</v>
      </c>
      <c r="O195" s="45">
        <v>0</v>
      </c>
      <c r="P195" s="46">
        <f t="shared" si="22"/>
        <v>100000</v>
      </c>
      <c r="Q195" s="47">
        <v>20608</v>
      </c>
      <c r="R195" s="46">
        <f t="shared" si="21"/>
        <v>-79392</v>
      </c>
      <c r="S195" s="46">
        <v>100000</v>
      </c>
      <c r="T195" s="59">
        <f t="shared" si="23"/>
        <v>0.20608</v>
      </c>
      <c r="U195" s="46">
        <f t="shared" si="19"/>
        <v>0</v>
      </c>
      <c r="V195" s="46"/>
      <c r="W195" s="46"/>
      <c r="X195" s="46"/>
      <c r="Y195" s="46"/>
      <c r="Z195" s="46"/>
    </row>
    <row r="196" spans="1:26" ht="17.25" customHeight="1" hidden="1" outlineLevel="1">
      <c r="A196" s="41" t="s">
        <v>244</v>
      </c>
      <c r="B196" s="42">
        <v>4200000</v>
      </c>
      <c r="C196" s="42">
        <v>2715289.05</v>
      </c>
      <c r="D196" s="42">
        <f t="shared" si="20"/>
        <v>-1484710.9500000002</v>
      </c>
      <c r="E196" s="42">
        <v>0</v>
      </c>
      <c r="F196" s="43" t="s">
        <v>245</v>
      </c>
      <c r="G196" s="42"/>
      <c r="H196" s="42">
        <v>3500000</v>
      </c>
      <c r="I196" s="42">
        <v>0</v>
      </c>
      <c r="J196" s="42">
        <v>0</v>
      </c>
      <c r="K196" s="42">
        <v>0</v>
      </c>
      <c r="N196" s="44">
        <v>3500000</v>
      </c>
      <c r="O196" s="45">
        <v>0</v>
      </c>
      <c r="P196" s="46">
        <f t="shared" si="22"/>
        <v>3500000</v>
      </c>
      <c r="Q196" s="47">
        <v>1024928</v>
      </c>
      <c r="R196" s="46">
        <f t="shared" si="21"/>
        <v>-2475072</v>
      </c>
      <c r="S196" s="48">
        <v>3126500</v>
      </c>
      <c r="T196" s="59">
        <f t="shared" si="23"/>
        <v>0.29283657142857145</v>
      </c>
      <c r="U196" s="46">
        <f t="shared" si="19"/>
        <v>-373500</v>
      </c>
      <c r="V196" s="46"/>
      <c r="W196" s="46"/>
      <c r="X196" s="46"/>
      <c r="Y196" s="46"/>
      <c r="Z196" s="46"/>
    </row>
    <row r="197" spans="1:26" ht="12.75" hidden="1" outlineLevel="1">
      <c r="A197" s="41" t="s">
        <v>246</v>
      </c>
      <c r="B197" s="42">
        <v>1000000</v>
      </c>
      <c r="C197" s="42">
        <v>1116274.29</v>
      </c>
      <c r="D197" s="42">
        <f t="shared" si="20"/>
        <v>116274.29000000004</v>
      </c>
      <c r="E197" s="42">
        <v>0</v>
      </c>
      <c r="F197" s="43"/>
      <c r="G197" s="42"/>
      <c r="H197" s="42">
        <v>1000000</v>
      </c>
      <c r="I197" s="42">
        <v>0</v>
      </c>
      <c r="J197" s="42">
        <v>0</v>
      </c>
      <c r="K197" s="42">
        <v>0</v>
      </c>
      <c r="N197" s="44">
        <v>1000000</v>
      </c>
      <c r="O197" s="45">
        <v>0</v>
      </c>
      <c r="P197" s="46">
        <f t="shared" si="22"/>
        <v>1000000</v>
      </c>
      <c r="Q197" s="47">
        <v>518777</v>
      </c>
      <c r="R197" s="46">
        <f t="shared" si="21"/>
        <v>-481223</v>
      </c>
      <c r="S197" s="48">
        <f>895000+344500</f>
        <v>1239500</v>
      </c>
      <c r="T197" s="59">
        <f t="shared" si="23"/>
        <v>0.518777</v>
      </c>
      <c r="U197" s="46">
        <f t="shared" si="19"/>
        <v>239500</v>
      </c>
      <c r="V197" s="46"/>
      <c r="W197" s="46"/>
      <c r="X197" s="46"/>
      <c r="Y197" s="46"/>
      <c r="Z197" s="46"/>
    </row>
    <row r="198" spans="1:26" ht="12.75" hidden="1" outlineLevel="1">
      <c r="A198" s="41" t="s">
        <v>247</v>
      </c>
      <c r="B198" s="42">
        <v>200000</v>
      </c>
      <c r="C198" s="42">
        <v>194792.24</v>
      </c>
      <c r="D198" s="42">
        <f t="shared" si="20"/>
        <v>-5207.760000000009</v>
      </c>
      <c r="E198" s="42">
        <v>0</v>
      </c>
      <c r="F198" s="43"/>
      <c r="G198" s="42"/>
      <c r="H198" s="42">
        <v>200000</v>
      </c>
      <c r="I198" s="42">
        <v>0</v>
      </c>
      <c r="J198" s="42">
        <v>0</v>
      </c>
      <c r="K198" s="42">
        <v>0</v>
      </c>
      <c r="N198" s="44">
        <v>200000</v>
      </c>
      <c r="O198" s="45">
        <v>0</v>
      </c>
      <c r="P198" s="46">
        <f t="shared" si="22"/>
        <v>200000</v>
      </c>
      <c r="Q198" s="47">
        <v>0</v>
      </c>
      <c r="R198" s="46">
        <f t="shared" si="21"/>
        <v>-200000</v>
      </c>
      <c r="S198" s="48">
        <v>200000</v>
      </c>
      <c r="T198" s="59">
        <f t="shared" si="23"/>
        <v>0</v>
      </c>
      <c r="U198" s="46">
        <f t="shared" si="19"/>
        <v>0</v>
      </c>
      <c r="V198" s="46"/>
      <c r="W198" s="46"/>
      <c r="X198" s="46"/>
      <c r="Y198" s="46"/>
      <c r="Z198" s="46"/>
    </row>
    <row r="199" spans="1:26" ht="12.75" hidden="1" outlineLevel="1">
      <c r="A199" s="41" t="s">
        <v>248</v>
      </c>
      <c r="B199" s="42">
        <v>200000</v>
      </c>
      <c r="C199" s="42">
        <v>200141.87</v>
      </c>
      <c r="D199" s="42">
        <f t="shared" si="20"/>
        <v>141.86999999999534</v>
      </c>
      <c r="E199" s="42">
        <v>0</v>
      </c>
      <c r="F199" s="43"/>
      <c r="G199" s="42"/>
      <c r="H199" s="42">
        <v>200000</v>
      </c>
      <c r="I199" s="42">
        <v>0</v>
      </c>
      <c r="J199" s="42">
        <v>0</v>
      </c>
      <c r="K199" s="42">
        <v>0</v>
      </c>
      <c r="N199" s="44">
        <v>200000</v>
      </c>
      <c r="O199" s="45">
        <v>0</v>
      </c>
      <c r="P199" s="46">
        <f t="shared" si="22"/>
        <v>200000</v>
      </c>
      <c r="Q199" s="47">
        <v>1882</v>
      </c>
      <c r="R199" s="46">
        <f t="shared" si="21"/>
        <v>-198118</v>
      </c>
      <c r="S199" s="48">
        <v>200000</v>
      </c>
      <c r="T199" s="59">
        <f t="shared" si="23"/>
        <v>0.00941</v>
      </c>
      <c r="U199" s="46">
        <f t="shared" si="19"/>
        <v>0</v>
      </c>
      <c r="V199" s="46"/>
      <c r="W199" s="46"/>
      <c r="X199" s="46"/>
      <c r="Y199" s="46"/>
      <c r="Z199" s="46"/>
    </row>
    <row r="200" spans="1:26" ht="12.75" hidden="1" outlineLevel="1">
      <c r="A200" s="41" t="s">
        <v>249</v>
      </c>
      <c r="B200" s="42">
        <v>400000</v>
      </c>
      <c r="C200" s="42">
        <v>418996.4</v>
      </c>
      <c r="D200" s="42">
        <f t="shared" si="20"/>
        <v>18996.400000000023</v>
      </c>
      <c r="E200" s="42">
        <v>0</v>
      </c>
      <c r="F200" s="43"/>
      <c r="G200" s="42"/>
      <c r="H200" s="42">
        <v>900000</v>
      </c>
      <c r="I200" s="42">
        <v>0</v>
      </c>
      <c r="J200" s="42">
        <v>0</v>
      </c>
      <c r="K200" s="42">
        <v>0</v>
      </c>
      <c r="N200" s="44">
        <v>900000</v>
      </c>
      <c r="O200" s="45">
        <v>0</v>
      </c>
      <c r="P200" s="46">
        <f t="shared" si="22"/>
        <v>900000</v>
      </c>
      <c r="Q200" s="47">
        <v>125310</v>
      </c>
      <c r="R200" s="46">
        <f t="shared" si="21"/>
        <v>-774690</v>
      </c>
      <c r="S200" s="48">
        <v>900000</v>
      </c>
      <c r="T200" s="59">
        <f t="shared" si="23"/>
        <v>0.13923333333333332</v>
      </c>
      <c r="U200" s="46">
        <f t="shared" si="19"/>
        <v>0</v>
      </c>
      <c r="V200" s="46"/>
      <c r="W200" s="46"/>
      <c r="X200" s="46"/>
      <c r="Y200" s="46"/>
      <c r="Z200" s="46"/>
    </row>
    <row r="201" spans="1:26" ht="12.75" hidden="1" outlineLevel="1">
      <c r="A201" s="41" t="s">
        <v>250</v>
      </c>
      <c r="B201" s="42">
        <v>400000</v>
      </c>
      <c r="C201" s="42">
        <v>107723.58</v>
      </c>
      <c r="D201" s="42">
        <f t="shared" si="20"/>
        <v>-292276.42</v>
      </c>
      <c r="E201" s="42">
        <v>0</v>
      </c>
      <c r="F201" s="43"/>
      <c r="G201" s="42"/>
      <c r="H201" s="42">
        <v>200000</v>
      </c>
      <c r="I201" s="42">
        <v>0</v>
      </c>
      <c r="J201" s="42">
        <v>0</v>
      </c>
      <c r="K201" s="42">
        <v>0</v>
      </c>
      <c r="N201" s="44">
        <v>200000</v>
      </c>
      <c r="O201" s="45">
        <v>0</v>
      </c>
      <c r="P201" s="46">
        <f t="shared" si="22"/>
        <v>200000</v>
      </c>
      <c r="Q201" s="47">
        <v>12238</v>
      </c>
      <c r="R201" s="46">
        <f t="shared" si="21"/>
        <v>-187762</v>
      </c>
      <c r="S201" s="48">
        <v>179000</v>
      </c>
      <c r="T201" s="59">
        <f t="shared" si="23"/>
        <v>0.06119</v>
      </c>
      <c r="U201" s="46">
        <f t="shared" si="19"/>
        <v>-21000</v>
      </c>
      <c r="V201" s="46"/>
      <c r="W201" s="46"/>
      <c r="X201" s="46"/>
      <c r="Y201" s="46"/>
      <c r="Z201" s="46"/>
    </row>
    <row r="202" spans="1:26" ht="12.75" hidden="1" outlineLevel="1">
      <c r="A202" s="41" t="s">
        <v>251</v>
      </c>
      <c r="B202" s="42">
        <v>6783</v>
      </c>
      <c r="C202" s="42">
        <v>6782.53</v>
      </c>
      <c r="D202" s="42">
        <f t="shared" si="20"/>
        <v>-0.47000000000025466</v>
      </c>
      <c r="E202" s="42">
        <v>60000</v>
      </c>
      <c r="F202" s="43"/>
      <c r="G202" s="42"/>
      <c r="H202" s="42">
        <v>150000</v>
      </c>
      <c r="I202" s="42">
        <v>0</v>
      </c>
      <c r="J202" s="42">
        <v>0</v>
      </c>
      <c r="K202" s="42">
        <v>0</v>
      </c>
      <c r="N202" s="44">
        <v>150000</v>
      </c>
      <c r="O202" s="45">
        <v>60000</v>
      </c>
      <c r="P202" s="46">
        <f t="shared" si="22"/>
        <v>210000</v>
      </c>
      <c r="Q202" s="47">
        <v>0</v>
      </c>
      <c r="R202" s="46">
        <f t="shared" si="21"/>
        <v>-210000</v>
      </c>
      <c r="S202" s="48">
        <v>60000</v>
      </c>
      <c r="T202" s="59">
        <f t="shared" si="23"/>
        <v>0</v>
      </c>
      <c r="U202" s="46">
        <f t="shared" si="19"/>
        <v>-150000</v>
      </c>
      <c r="V202" s="46"/>
      <c r="W202" s="46"/>
      <c r="X202" s="46"/>
      <c r="Y202" s="46"/>
      <c r="Z202" s="46"/>
    </row>
    <row r="203" spans="1:26" ht="12.75" hidden="1" outlineLevel="1">
      <c r="A203" s="41" t="s">
        <v>252</v>
      </c>
      <c r="B203" s="42">
        <v>0</v>
      </c>
      <c r="C203" s="42">
        <v>-434.16999999999825</v>
      </c>
      <c r="D203" s="42">
        <f t="shared" si="20"/>
        <v>-434.16999999999825</v>
      </c>
      <c r="E203" s="42">
        <v>0</v>
      </c>
      <c r="F203" s="43"/>
      <c r="G203" s="42"/>
      <c r="H203" s="42">
        <v>0</v>
      </c>
      <c r="I203" s="42">
        <v>0</v>
      </c>
      <c r="J203" s="42">
        <v>0</v>
      </c>
      <c r="K203" s="42">
        <v>0</v>
      </c>
      <c r="O203" s="45">
        <v>0</v>
      </c>
      <c r="P203" s="46">
        <f t="shared" si="22"/>
        <v>0</v>
      </c>
      <c r="Q203" s="47"/>
      <c r="R203" s="46">
        <f t="shared" si="21"/>
        <v>0</v>
      </c>
      <c r="S203" s="48">
        <v>0</v>
      </c>
      <c r="T203" s="59">
        <v>0</v>
      </c>
      <c r="U203" s="46">
        <f t="shared" si="19"/>
        <v>0</v>
      </c>
      <c r="V203" s="46"/>
      <c r="W203" s="46"/>
      <c r="X203" s="46"/>
      <c r="Y203" s="46"/>
      <c r="Z203" s="46"/>
    </row>
    <row r="204" spans="1:26" ht="12.75" hidden="1" outlineLevel="1">
      <c r="A204" s="41" t="s">
        <v>253</v>
      </c>
      <c r="B204" s="42">
        <v>200000</v>
      </c>
      <c r="C204" s="42">
        <v>0</v>
      </c>
      <c r="D204" s="42">
        <f t="shared" si="20"/>
        <v>-200000</v>
      </c>
      <c r="E204" s="42">
        <v>200000</v>
      </c>
      <c r="F204" s="43" t="s">
        <v>236</v>
      </c>
      <c r="G204" s="42"/>
      <c r="H204" s="42">
        <v>0</v>
      </c>
      <c r="I204" s="42">
        <v>0</v>
      </c>
      <c r="J204" s="42">
        <v>0</v>
      </c>
      <c r="K204" s="42">
        <v>0</v>
      </c>
      <c r="N204" s="44">
        <v>100000</v>
      </c>
      <c r="O204" s="45">
        <v>200000</v>
      </c>
      <c r="P204" s="46">
        <f t="shared" si="22"/>
        <v>300000</v>
      </c>
      <c r="Q204" s="47">
        <v>0</v>
      </c>
      <c r="R204" s="46">
        <f t="shared" si="21"/>
        <v>-300000</v>
      </c>
      <c r="S204" s="48">
        <v>179000</v>
      </c>
      <c r="T204" s="59">
        <f>Q204/P204</f>
        <v>0</v>
      </c>
      <c r="U204" s="46">
        <f t="shared" si="19"/>
        <v>-121000</v>
      </c>
      <c r="V204" s="46"/>
      <c r="W204" s="46"/>
      <c r="X204" s="46"/>
      <c r="Y204" s="46"/>
      <c r="Z204" s="46"/>
    </row>
    <row r="205" spans="1:26" ht="12.75" hidden="1" outlineLevel="1">
      <c r="A205" s="41" t="s">
        <v>254</v>
      </c>
      <c r="B205" s="42">
        <v>0</v>
      </c>
      <c r="C205" s="42">
        <v>-895.13</v>
      </c>
      <c r="D205" s="42">
        <f t="shared" si="20"/>
        <v>-895.13</v>
      </c>
      <c r="E205" s="42">
        <v>0</v>
      </c>
      <c r="F205" s="43"/>
      <c r="G205" s="42"/>
      <c r="H205" s="42">
        <v>0</v>
      </c>
      <c r="I205" s="42">
        <v>0</v>
      </c>
      <c r="J205" s="42">
        <v>0</v>
      </c>
      <c r="K205" s="42">
        <v>0</v>
      </c>
      <c r="O205" s="45">
        <v>0</v>
      </c>
      <c r="P205" s="46">
        <f t="shared" si="22"/>
        <v>0</v>
      </c>
      <c r="Q205" s="47">
        <v>8720</v>
      </c>
      <c r="R205" s="46">
        <f t="shared" si="21"/>
        <v>8720</v>
      </c>
      <c r="S205" s="48">
        <f>J205</f>
        <v>0</v>
      </c>
      <c r="T205" s="59">
        <v>0</v>
      </c>
      <c r="U205" s="46">
        <f t="shared" si="19"/>
        <v>0</v>
      </c>
      <c r="V205" s="46"/>
      <c r="W205" s="46"/>
      <c r="X205" s="46"/>
      <c r="Y205" s="46"/>
      <c r="Z205" s="46"/>
    </row>
    <row r="206" spans="1:26" ht="12.75" hidden="1" outlineLevel="1">
      <c r="A206" s="41" t="s">
        <v>255</v>
      </c>
      <c r="B206" s="42">
        <v>0</v>
      </c>
      <c r="C206" s="42">
        <v>-895.13</v>
      </c>
      <c r="D206" s="42">
        <f t="shared" si="20"/>
        <v>-895.13</v>
      </c>
      <c r="E206" s="42">
        <v>0</v>
      </c>
      <c r="F206" s="43"/>
      <c r="G206" s="42"/>
      <c r="H206" s="42">
        <v>0</v>
      </c>
      <c r="I206" s="42">
        <v>0</v>
      </c>
      <c r="J206" s="42">
        <v>0</v>
      </c>
      <c r="K206" s="42">
        <v>0</v>
      </c>
      <c r="O206" s="45">
        <v>0</v>
      </c>
      <c r="P206" s="46">
        <f t="shared" si="22"/>
        <v>0</v>
      </c>
      <c r="Q206" s="47">
        <v>0</v>
      </c>
      <c r="R206" s="46">
        <f t="shared" si="21"/>
        <v>0</v>
      </c>
      <c r="S206" s="48">
        <f>J206</f>
        <v>0</v>
      </c>
      <c r="T206" s="59">
        <v>0</v>
      </c>
      <c r="U206" s="46">
        <f t="shared" si="19"/>
        <v>0</v>
      </c>
      <c r="V206" s="46"/>
      <c r="W206" s="46"/>
      <c r="X206" s="46"/>
      <c r="Y206" s="46"/>
      <c r="Z206" s="46"/>
    </row>
    <row r="207" spans="1:26" ht="12.75" hidden="1" outlineLevel="1">
      <c r="A207" s="41" t="s">
        <v>256</v>
      </c>
      <c r="B207" s="42">
        <v>67412</v>
      </c>
      <c r="C207" s="42">
        <v>67411.53</v>
      </c>
      <c r="D207" s="42">
        <f t="shared" si="20"/>
        <v>-0.47000000000116415</v>
      </c>
      <c r="E207" s="42">
        <v>0</v>
      </c>
      <c r="F207" s="43"/>
      <c r="G207" s="42"/>
      <c r="H207" s="42">
        <v>0</v>
      </c>
      <c r="I207" s="42">
        <v>0</v>
      </c>
      <c r="J207" s="42">
        <v>0</v>
      </c>
      <c r="K207" s="42">
        <v>0</v>
      </c>
      <c r="O207" s="45">
        <v>0</v>
      </c>
      <c r="P207" s="46">
        <f t="shared" si="22"/>
        <v>0</v>
      </c>
      <c r="Q207" s="47">
        <v>-17.1</v>
      </c>
      <c r="R207" s="46">
        <f t="shared" si="21"/>
        <v>-17.1</v>
      </c>
      <c r="S207" s="48">
        <f>J207</f>
        <v>0</v>
      </c>
      <c r="T207" s="59">
        <v>0</v>
      </c>
      <c r="U207" s="46">
        <f t="shared" si="19"/>
        <v>0</v>
      </c>
      <c r="V207" s="46"/>
      <c r="W207" s="46"/>
      <c r="X207" s="46"/>
      <c r="Y207" s="46"/>
      <c r="Z207" s="46"/>
    </row>
    <row r="208" spans="1:26" ht="12.75" hidden="1" outlineLevel="1">
      <c r="A208" s="41" t="s">
        <v>257</v>
      </c>
      <c r="B208" s="42">
        <v>43078</v>
      </c>
      <c r="C208" s="42">
        <v>43077.67</v>
      </c>
      <c r="D208" s="42">
        <f t="shared" si="20"/>
        <v>-0.33000000000174623</v>
      </c>
      <c r="E208" s="42">
        <v>0</v>
      </c>
      <c r="F208" s="43"/>
      <c r="G208" s="42"/>
      <c r="H208" s="42">
        <v>0</v>
      </c>
      <c r="I208" s="42">
        <v>0</v>
      </c>
      <c r="J208" s="42">
        <v>0</v>
      </c>
      <c r="K208" s="42">
        <v>0</v>
      </c>
      <c r="O208" s="45">
        <v>0</v>
      </c>
      <c r="P208" s="46">
        <f t="shared" si="22"/>
        <v>0</v>
      </c>
      <c r="Q208" s="47">
        <v>0</v>
      </c>
      <c r="R208" s="46">
        <f t="shared" si="21"/>
        <v>0</v>
      </c>
      <c r="S208" s="48">
        <f>J208</f>
        <v>0</v>
      </c>
      <c r="T208" s="59">
        <v>0</v>
      </c>
      <c r="U208" s="46">
        <f t="shared" si="19"/>
        <v>0</v>
      </c>
      <c r="V208" s="46"/>
      <c r="W208" s="46"/>
      <c r="X208" s="46"/>
      <c r="Y208" s="46"/>
      <c r="Z208" s="46"/>
    </row>
    <row r="209" spans="1:26" ht="12.75" hidden="1" outlineLevel="1">
      <c r="A209" s="41" t="s">
        <v>258</v>
      </c>
      <c r="B209" s="42">
        <v>74122</v>
      </c>
      <c r="C209" s="42">
        <v>74121.63</v>
      </c>
      <c r="D209" s="42">
        <f t="shared" si="20"/>
        <v>-0.3699999999953434</v>
      </c>
      <c r="E209" s="42">
        <v>0</v>
      </c>
      <c r="F209" s="43"/>
      <c r="G209" s="42"/>
      <c r="H209" s="42">
        <v>0</v>
      </c>
      <c r="I209" s="42">
        <v>0</v>
      </c>
      <c r="J209" s="42">
        <v>0</v>
      </c>
      <c r="K209" s="42">
        <v>0</v>
      </c>
      <c r="O209" s="45">
        <v>0</v>
      </c>
      <c r="P209" s="46">
        <f t="shared" si="22"/>
        <v>0</v>
      </c>
      <c r="Q209" s="47">
        <v>1370</v>
      </c>
      <c r="R209" s="46">
        <f t="shared" si="21"/>
        <v>1370</v>
      </c>
      <c r="S209" s="48">
        <f>J209</f>
        <v>0</v>
      </c>
      <c r="T209" s="59">
        <v>0</v>
      </c>
      <c r="U209" s="46">
        <f t="shared" si="19"/>
        <v>0</v>
      </c>
      <c r="V209" s="46"/>
      <c r="W209" s="46"/>
      <c r="X209" s="46"/>
      <c r="Y209" s="46"/>
      <c r="Z209" s="46"/>
    </row>
    <row r="210" spans="1:26" ht="12.75" hidden="1" outlineLevel="1">
      <c r="A210" s="41" t="s">
        <v>259</v>
      </c>
      <c r="B210" s="42">
        <v>7103784</v>
      </c>
      <c r="C210" s="42">
        <v>3752617.88</v>
      </c>
      <c r="D210" s="42">
        <f t="shared" si="20"/>
        <v>-3351166.12</v>
      </c>
      <c r="E210" s="42">
        <v>0</v>
      </c>
      <c r="F210" s="43"/>
      <c r="G210" s="42"/>
      <c r="H210" s="42">
        <v>0</v>
      </c>
      <c r="I210" s="42">
        <v>0</v>
      </c>
      <c r="J210" s="42">
        <v>0</v>
      </c>
      <c r="K210" s="42">
        <v>0</v>
      </c>
      <c r="O210" s="45">
        <v>0</v>
      </c>
      <c r="P210" s="46">
        <f t="shared" si="22"/>
        <v>0</v>
      </c>
      <c r="Q210" s="47">
        <v>66141</v>
      </c>
      <c r="R210" s="46">
        <f t="shared" si="21"/>
        <v>66141</v>
      </c>
      <c r="S210" s="48">
        <v>420156</v>
      </c>
      <c r="T210" s="59">
        <v>0</v>
      </c>
      <c r="U210" s="46">
        <f t="shared" si="19"/>
        <v>420156</v>
      </c>
      <c r="V210" s="46"/>
      <c r="W210" s="46"/>
      <c r="X210" s="46"/>
      <c r="Y210" s="46"/>
      <c r="Z210" s="46"/>
    </row>
    <row r="211" spans="1:26" ht="12.75" hidden="1" outlineLevel="1">
      <c r="A211" s="41" t="s">
        <v>260</v>
      </c>
      <c r="B211" s="42">
        <v>768837</v>
      </c>
      <c r="C211" s="42">
        <v>0</v>
      </c>
      <c r="D211" s="42">
        <f t="shared" si="20"/>
        <v>-768837</v>
      </c>
      <c r="E211" s="42">
        <v>1601000</v>
      </c>
      <c r="F211" s="43" t="s">
        <v>236</v>
      </c>
      <c r="G211" s="42"/>
      <c r="H211" s="42">
        <v>100000</v>
      </c>
      <c r="I211" s="42">
        <v>0</v>
      </c>
      <c r="J211" s="42">
        <v>0</v>
      </c>
      <c r="K211" s="42">
        <v>0</v>
      </c>
      <c r="O211" s="45">
        <v>1601000</v>
      </c>
      <c r="P211" s="46">
        <f t="shared" si="22"/>
        <v>1601000</v>
      </c>
      <c r="Q211" s="47">
        <v>0</v>
      </c>
      <c r="R211" s="46">
        <f t="shared" si="21"/>
        <v>-1601000</v>
      </c>
      <c r="S211" s="48">
        <v>129000</v>
      </c>
      <c r="T211" s="59">
        <f>Q211/P211</f>
        <v>0</v>
      </c>
      <c r="U211" s="46">
        <f t="shared" si="19"/>
        <v>-1472000</v>
      </c>
      <c r="V211" s="46"/>
      <c r="W211" s="46"/>
      <c r="X211" s="46"/>
      <c r="Y211" s="46"/>
      <c r="Z211" s="46"/>
    </row>
    <row r="212" spans="1:26" ht="12.75" hidden="1" outlineLevel="1">
      <c r="A212" s="41" t="s">
        <v>261</v>
      </c>
      <c r="B212" s="42">
        <v>38613</v>
      </c>
      <c r="C212" s="42">
        <v>38613.3</v>
      </c>
      <c r="D212" s="42">
        <f t="shared" si="20"/>
        <v>0.3000000000029104</v>
      </c>
      <c r="E212" s="42">
        <v>0</v>
      </c>
      <c r="F212" s="43"/>
      <c r="G212" s="42"/>
      <c r="H212" s="42">
        <v>0</v>
      </c>
      <c r="I212" s="42">
        <v>0</v>
      </c>
      <c r="J212" s="42">
        <v>0</v>
      </c>
      <c r="K212" s="42">
        <v>0</v>
      </c>
      <c r="O212" s="45">
        <v>0</v>
      </c>
      <c r="P212" s="46">
        <f t="shared" si="22"/>
        <v>0</v>
      </c>
      <c r="Q212" s="47">
        <v>0</v>
      </c>
      <c r="R212" s="46">
        <f t="shared" si="21"/>
        <v>0</v>
      </c>
      <c r="S212" s="48">
        <f>J212</f>
        <v>0</v>
      </c>
      <c r="T212" s="59">
        <v>0</v>
      </c>
      <c r="U212" s="46">
        <f t="shared" si="19"/>
        <v>0</v>
      </c>
      <c r="V212" s="46"/>
      <c r="W212" s="46"/>
      <c r="X212" s="46"/>
      <c r="Y212" s="46"/>
      <c r="Z212" s="46"/>
    </row>
    <row r="213" spans="1:26" ht="12.75" hidden="1" outlineLevel="1">
      <c r="A213" s="41" t="s">
        <v>262</v>
      </c>
      <c r="B213" s="42">
        <v>1155</v>
      </c>
      <c r="C213" s="42">
        <v>1154.58</v>
      </c>
      <c r="D213" s="42">
        <f t="shared" si="20"/>
        <v>-0.42000000000007276</v>
      </c>
      <c r="E213" s="42">
        <v>0</v>
      </c>
      <c r="F213" s="43"/>
      <c r="G213" s="42"/>
      <c r="H213" s="42">
        <v>0</v>
      </c>
      <c r="I213" s="42">
        <v>0</v>
      </c>
      <c r="J213" s="42">
        <v>0</v>
      </c>
      <c r="K213" s="42">
        <v>0</v>
      </c>
      <c r="O213" s="45">
        <v>0</v>
      </c>
      <c r="P213" s="46">
        <f t="shared" si="22"/>
        <v>0</v>
      </c>
      <c r="Q213" s="47">
        <v>0</v>
      </c>
      <c r="R213" s="46">
        <f t="shared" si="21"/>
        <v>0</v>
      </c>
      <c r="S213" s="48">
        <f>J213</f>
        <v>0</v>
      </c>
      <c r="T213" s="59">
        <v>0</v>
      </c>
      <c r="U213" s="46">
        <f t="shared" si="19"/>
        <v>0</v>
      </c>
      <c r="V213" s="46"/>
      <c r="W213" s="46"/>
      <c r="X213" s="46"/>
      <c r="Y213" s="46"/>
      <c r="Z213" s="46"/>
    </row>
    <row r="214" spans="1:26" ht="12.75" hidden="1" outlineLevel="1">
      <c r="A214" s="41" t="s">
        <v>263</v>
      </c>
      <c r="B214" s="42">
        <v>0</v>
      </c>
      <c r="C214" s="42">
        <v>212335.55</v>
      </c>
      <c r="D214" s="42">
        <f t="shared" si="20"/>
        <v>212335.55</v>
      </c>
      <c r="E214" s="42">
        <v>0</v>
      </c>
      <c r="F214" s="43"/>
      <c r="G214" s="42"/>
      <c r="H214" s="42">
        <v>0</v>
      </c>
      <c r="I214" s="42">
        <v>0</v>
      </c>
      <c r="J214" s="42">
        <v>0</v>
      </c>
      <c r="K214" s="42">
        <v>0</v>
      </c>
      <c r="O214" s="45">
        <v>0</v>
      </c>
      <c r="P214" s="46">
        <f t="shared" si="22"/>
        <v>0</v>
      </c>
      <c r="Q214" s="47">
        <v>19359</v>
      </c>
      <c r="R214" s="46">
        <f t="shared" si="21"/>
        <v>19359</v>
      </c>
      <c r="S214" s="48">
        <f>100000-17000</f>
        <v>83000</v>
      </c>
      <c r="T214" s="59">
        <v>0</v>
      </c>
      <c r="U214" s="46">
        <f t="shared" si="19"/>
        <v>83000</v>
      </c>
      <c r="V214" s="46"/>
      <c r="W214" s="46"/>
      <c r="X214" s="46"/>
      <c r="Y214" s="46"/>
      <c r="Z214" s="46"/>
    </row>
    <row r="215" spans="1:26" ht="13.5" hidden="1" outlineLevel="1" thickBot="1">
      <c r="A215" s="41" t="s">
        <v>264</v>
      </c>
      <c r="B215" s="42">
        <v>3281216</v>
      </c>
      <c r="C215" s="42">
        <v>3281215.72</v>
      </c>
      <c r="D215" s="42">
        <f t="shared" si="20"/>
        <v>-0.27999999979510903</v>
      </c>
      <c r="E215" s="42">
        <v>0</v>
      </c>
      <c r="F215" s="43"/>
      <c r="G215" s="42"/>
      <c r="H215" s="42">
        <v>0</v>
      </c>
      <c r="I215" s="42">
        <v>0</v>
      </c>
      <c r="J215" s="42">
        <v>0</v>
      </c>
      <c r="K215" s="42">
        <v>0</v>
      </c>
      <c r="O215" s="45">
        <v>0</v>
      </c>
      <c r="P215" s="46">
        <v>0</v>
      </c>
      <c r="Q215" s="47">
        <v>63996</v>
      </c>
      <c r="R215" s="46">
        <f t="shared" si="21"/>
        <v>63996</v>
      </c>
      <c r="S215" s="48">
        <v>17000</v>
      </c>
      <c r="T215" s="60">
        <v>0</v>
      </c>
      <c r="U215" s="46">
        <f t="shared" si="19"/>
        <v>17000</v>
      </c>
      <c r="V215" s="46"/>
      <c r="W215" s="46"/>
      <c r="X215" s="46"/>
      <c r="Y215" s="46"/>
      <c r="Z215" s="46"/>
    </row>
    <row r="216" spans="1:31" ht="12.75" hidden="1" outlineLevel="1">
      <c r="A216" s="41" t="s">
        <v>206</v>
      </c>
      <c r="B216" s="42"/>
      <c r="C216" s="42"/>
      <c r="D216" s="42"/>
      <c r="E216" s="42"/>
      <c r="F216" s="43"/>
      <c r="G216" s="42"/>
      <c r="H216" s="42"/>
      <c r="I216" s="42"/>
      <c r="J216" s="42"/>
      <c r="K216" s="42"/>
      <c r="O216" s="45"/>
      <c r="P216" s="46"/>
      <c r="Q216" s="47"/>
      <c r="R216" s="46"/>
      <c r="S216" s="48">
        <v>108000</v>
      </c>
      <c r="T216" s="49"/>
      <c r="U216" s="46">
        <f t="shared" si="19"/>
        <v>108000</v>
      </c>
      <c r="V216" s="79"/>
      <c r="W216" s="79"/>
      <c r="X216" s="79"/>
      <c r="Y216" s="79"/>
      <c r="Z216" s="79"/>
      <c r="AA216" s="79">
        <v>9446000</v>
      </c>
      <c r="AB216" s="79">
        <v>9360000</v>
      </c>
      <c r="AC216" s="79">
        <v>9285000</v>
      </c>
      <c r="AD216" s="79">
        <v>9210000</v>
      </c>
      <c r="AE216" s="79">
        <v>9140000</v>
      </c>
    </row>
    <row r="217" spans="1:31" ht="7.5" customHeight="1" outlineLevel="1" thickTop="1">
      <c r="A217" s="41"/>
      <c r="B217" s="42"/>
      <c r="C217" s="42"/>
      <c r="D217" s="42"/>
      <c r="E217" s="42"/>
      <c r="F217" s="43"/>
      <c r="G217" s="42"/>
      <c r="H217" s="42"/>
      <c r="I217" s="42"/>
      <c r="J217" s="42"/>
      <c r="K217" s="42"/>
      <c r="O217" s="45"/>
      <c r="P217" s="46"/>
      <c r="Q217" s="47"/>
      <c r="R217" s="46"/>
      <c r="S217" s="48"/>
      <c r="T217" s="49"/>
      <c r="U217" s="46"/>
      <c r="V217" s="79"/>
      <c r="W217" s="79"/>
      <c r="X217" s="79"/>
      <c r="Y217" s="79"/>
      <c r="Z217" s="79"/>
      <c r="AA217" s="79"/>
      <c r="AB217" s="79"/>
      <c r="AC217" s="79"/>
      <c r="AD217" s="79"/>
      <c r="AE217" s="79"/>
    </row>
    <row r="218" spans="1:31" ht="15" outlineLevel="1">
      <c r="A218" s="103" t="s">
        <v>298</v>
      </c>
      <c r="B218" s="42"/>
      <c r="C218" s="42"/>
      <c r="D218" s="42"/>
      <c r="E218" s="42"/>
      <c r="F218" s="43"/>
      <c r="G218" s="42"/>
      <c r="H218" s="42"/>
      <c r="I218" s="42"/>
      <c r="J218" s="42"/>
      <c r="K218" s="42"/>
      <c r="O218" s="45"/>
      <c r="P218" s="46"/>
      <c r="Q218" s="47"/>
      <c r="R218" s="46"/>
      <c r="S218" s="48"/>
      <c r="T218" s="49"/>
      <c r="U218" s="46"/>
      <c r="V218" s="79"/>
      <c r="W218" s="79"/>
      <c r="X218" s="79"/>
      <c r="Y218" s="79"/>
      <c r="Z218" s="79"/>
      <c r="AA218" s="79"/>
      <c r="AB218" s="79"/>
      <c r="AC218" s="79"/>
      <c r="AD218" s="79"/>
      <c r="AE218" s="79"/>
    </row>
    <row r="219" spans="1:31" ht="6" customHeight="1" outlineLevel="1">
      <c r="A219" s="103"/>
      <c r="B219" s="42"/>
      <c r="C219" s="42"/>
      <c r="D219" s="42"/>
      <c r="E219" s="42"/>
      <c r="F219" s="43"/>
      <c r="G219" s="42"/>
      <c r="H219" s="42"/>
      <c r="I219" s="42"/>
      <c r="J219" s="42"/>
      <c r="K219" s="42"/>
      <c r="O219" s="45"/>
      <c r="P219" s="46"/>
      <c r="Q219" s="47"/>
      <c r="R219" s="46"/>
      <c r="S219" s="48"/>
      <c r="T219" s="49"/>
      <c r="U219" s="46"/>
      <c r="V219" s="79"/>
      <c r="W219" s="79"/>
      <c r="X219" s="79"/>
      <c r="Y219" s="79"/>
      <c r="Z219" s="79"/>
      <c r="AA219" s="79"/>
      <c r="AB219" s="79"/>
      <c r="AC219" s="79"/>
      <c r="AD219" s="79"/>
      <c r="AE219" s="79"/>
    </row>
    <row r="220" spans="1:31" ht="12.75" outlineLevel="1">
      <c r="A220" s="41" t="s">
        <v>265</v>
      </c>
      <c r="B220" s="42"/>
      <c r="C220" s="42"/>
      <c r="D220" s="42"/>
      <c r="E220" s="42"/>
      <c r="F220" s="43"/>
      <c r="G220" s="42"/>
      <c r="H220" s="42"/>
      <c r="I220" s="42"/>
      <c r="J220" s="42"/>
      <c r="K220" s="42"/>
      <c r="O220" s="45"/>
      <c r="P220" s="46"/>
      <c r="Q220" s="47"/>
      <c r="R220" s="46"/>
      <c r="S220" s="48"/>
      <c r="T220" s="49"/>
      <c r="U220" s="46"/>
      <c r="V220" s="46">
        <v>1000000</v>
      </c>
      <c r="W220" s="46">
        <v>1000000</v>
      </c>
      <c r="X220" s="46">
        <v>1000000</v>
      </c>
      <c r="Y220" s="46">
        <v>1000000</v>
      </c>
      <c r="Z220" s="46">
        <v>1000000</v>
      </c>
      <c r="AA220" s="79"/>
      <c r="AB220" s="79"/>
      <c r="AC220" s="79"/>
      <c r="AD220" s="79"/>
      <c r="AE220" s="79"/>
    </row>
    <row r="221" spans="1:31" ht="12.75" outlineLevel="1">
      <c r="A221" s="41" t="s">
        <v>266</v>
      </c>
      <c r="B221" s="42"/>
      <c r="C221" s="42"/>
      <c r="D221" s="42"/>
      <c r="E221" s="42"/>
      <c r="F221" s="43"/>
      <c r="G221" s="42"/>
      <c r="H221" s="42"/>
      <c r="I221" s="42"/>
      <c r="J221" s="42"/>
      <c r="K221" s="42"/>
      <c r="O221" s="45"/>
      <c r="P221" s="46"/>
      <c r="Q221" s="47"/>
      <c r="R221" s="46"/>
      <c r="S221" s="48"/>
      <c r="T221" s="49"/>
      <c r="U221" s="46"/>
      <c r="V221" s="46">
        <v>900000</v>
      </c>
      <c r="W221" s="46">
        <v>900000</v>
      </c>
      <c r="X221" s="46">
        <v>900000</v>
      </c>
      <c r="Y221" s="46">
        <v>900000</v>
      </c>
      <c r="Z221" s="46">
        <v>900000</v>
      </c>
      <c r="AA221" s="79"/>
      <c r="AB221" s="79"/>
      <c r="AC221" s="79"/>
      <c r="AD221" s="79"/>
      <c r="AE221" s="79"/>
    </row>
    <row r="222" spans="1:31" ht="12.75" outlineLevel="1">
      <c r="A222" s="41" t="s">
        <v>242</v>
      </c>
      <c r="B222" s="42"/>
      <c r="C222" s="42"/>
      <c r="D222" s="42"/>
      <c r="E222" s="42"/>
      <c r="F222" s="43"/>
      <c r="G222" s="42"/>
      <c r="H222" s="42"/>
      <c r="I222" s="42"/>
      <c r="J222" s="42"/>
      <c r="K222" s="42"/>
      <c r="O222" s="45"/>
      <c r="P222" s="46"/>
      <c r="Q222" s="47"/>
      <c r="R222" s="46"/>
      <c r="S222" s="48"/>
      <c r="T222" s="49"/>
      <c r="U222" s="46"/>
      <c r="V222" s="46">
        <v>850000</v>
      </c>
      <c r="W222" s="46">
        <v>830000</v>
      </c>
      <c r="X222" s="46">
        <v>820000</v>
      </c>
      <c r="Y222" s="46">
        <v>800000</v>
      </c>
      <c r="Z222" s="46">
        <v>776000</v>
      </c>
      <c r="AA222" s="79"/>
      <c r="AB222" s="79"/>
      <c r="AC222" s="79"/>
      <c r="AD222" s="79"/>
      <c r="AE222" s="79"/>
    </row>
    <row r="223" spans="1:31" ht="12.75" outlineLevel="1">
      <c r="A223" s="41" t="s">
        <v>304</v>
      </c>
      <c r="B223" s="42"/>
      <c r="C223" s="42"/>
      <c r="D223" s="42"/>
      <c r="E223" s="42"/>
      <c r="F223" s="43"/>
      <c r="G223" s="42"/>
      <c r="H223" s="42"/>
      <c r="I223" s="42"/>
      <c r="J223" s="42"/>
      <c r="K223" s="42"/>
      <c r="O223" s="45"/>
      <c r="P223" s="46"/>
      <c r="Q223" s="47"/>
      <c r="R223" s="46"/>
      <c r="S223" s="48"/>
      <c r="T223" s="49"/>
      <c r="U223" s="46"/>
      <c r="V223" s="46">
        <v>1636000</v>
      </c>
      <c r="W223" s="46">
        <v>1636000</v>
      </c>
      <c r="X223" s="46">
        <v>1488000</v>
      </c>
      <c r="Y223" s="46">
        <v>1488000</v>
      </c>
      <c r="Z223" s="46">
        <v>1339000</v>
      </c>
      <c r="AA223" s="79"/>
      <c r="AB223" s="79"/>
      <c r="AC223" s="79"/>
      <c r="AD223" s="79"/>
      <c r="AE223" s="79"/>
    </row>
    <row r="224" spans="1:26" ht="12.75" outlineLevel="1">
      <c r="A224" s="41" t="s">
        <v>267</v>
      </c>
      <c r="B224" s="42"/>
      <c r="C224" s="42"/>
      <c r="D224" s="42"/>
      <c r="E224" s="42"/>
      <c r="F224" s="43"/>
      <c r="G224" s="42"/>
      <c r="H224" s="42"/>
      <c r="I224" s="42"/>
      <c r="J224" s="42"/>
      <c r="K224" s="42"/>
      <c r="O224" s="45"/>
      <c r="P224" s="46"/>
      <c r="Q224" s="47"/>
      <c r="R224" s="46"/>
      <c r="S224" s="48"/>
      <c r="T224" s="49"/>
      <c r="U224" s="46"/>
      <c r="V224" s="50">
        <v>595000</v>
      </c>
      <c r="W224" s="50">
        <v>595000</v>
      </c>
      <c r="X224" s="50">
        <v>476000</v>
      </c>
      <c r="Y224" s="50">
        <v>417000</v>
      </c>
      <c r="Z224" s="50">
        <v>357000</v>
      </c>
    </row>
    <row r="225" spans="1:26" ht="12.75" outlineLevel="1">
      <c r="A225" s="41" t="s">
        <v>268</v>
      </c>
      <c r="B225" s="42"/>
      <c r="C225" s="42"/>
      <c r="D225" s="42"/>
      <c r="E225" s="42"/>
      <c r="F225" s="43"/>
      <c r="G225" s="42"/>
      <c r="H225" s="42"/>
      <c r="I225" s="42"/>
      <c r="J225" s="42"/>
      <c r="K225" s="42"/>
      <c r="O225" s="45"/>
      <c r="P225" s="46"/>
      <c r="Q225" s="47"/>
      <c r="R225" s="46"/>
      <c r="S225" s="48"/>
      <c r="T225" s="49"/>
      <c r="U225" s="46"/>
      <c r="V225" s="50">
        <v>309000</v>
      </c>
      <c r="W225" s="50">
        <v>309000</v>
      </c>
      <c r="X225" s="50">
        <v>309000</v>
      </c>
      <c r="Y225" s="50">
        <v>309000</v>
      </c>
      <c r="Z225" s="50">
        <v>309000</v>
      </c>
    </row>
    <row r="226" spans="1:26" ht="12.75" outlineLevel="1">
      <c r="A226" s="41" t="s">
        <v>269</v>
      </c>
      <c r="B226" s="42"/>
      <c r="C226" s="42"/>
      <c r="D226" s="42"/>
      <c r="E226" s="42"/>
      <c r="F226" s="43"/>
      <c r="G226" s="42"/>
      <c r="H226" s="42"/>
      <c r="I226" s="42"/>
      <c r="J226" s="42"/>
      <c r="K226" s="42"/>
      <c r="O226" s="45"/>
      <c r="P226" s="46"/>
      <c r="Q226" s="47"/>
      <c r="R226" s="46"/>
      <c r="S226" s="48"/>
      <c r="T226" s="49"/>
      <c r="U226" s="46"/>
      <c r="V226" s="50">
        <v>619000</v>
      </c>
      <c r="W226" s="50">
        <v>619000</v>
      </c>
      <c r="X226" s="50">
        <v>585000</v>
      </c>
      <c r="Y226" s="50">
        <v>585000</v>
      </c>
      <c r="Z226" s="50">
        <v>553000</v>
      </c>
    </row>
    <row r="227" spans="1:26" ht="12.75" outlineLevel="1">
      <c r="A227" s="41" t="s">
        <v>270</v>
      </c>
      <c r="B227" s="42"/>
      <c r="C227" s="42"/>
      <c r="D227" s="42"/>
      <c r="E227" s="42"/>
      <c r="F227" s="43"/>
      <c r="G227" s="42"/>
      <c r="H227" s="42"/>
      <c r="I227" s="42"/>
      <c r="J227" s="42"/>
      <c r="K227" s="42"/>
      <c r="O227" s="45"/>
      <c r="P227" s="46"/>
      <c r="Q227" s="47"/>
      <c r="R227" s="46"/>
      <c r="S227" s="48"/>
      <c r="T227" s="49"/>
      <c r="U227" s="46"/>
      <c r="V227" s="50">
        <v>792000</v>
      </c>
      <c r="W227" s="50">
        <v>792000</v>
      </c>
      <c r="X227" s="50">
        <v>770000</v>
      </c>
      <c r="Y227" s="50">
        <v>770000</v>
      </c>
      <c r="Z227" s="50">
        <v>748000</v>
      </c>
    </row>
    <row r="228" spans="1:26" ht="12.75" outlineLevel="1">
      <c r="A228" s="41" t="s">
        <v>271</v>
      </c>
      <c r="B228" s="42"/>
      <c r="C228" s="42"/>
      <c r="D228" s="42"/>
      <c r="E228" s="42"/>
      <c r="F228" s="43"/>
      <c r="G228" s="42"/>
      <c r="H228" s="42"/>
      <c r="I228" s="42"/>
      <c r="J228" s="42"/>
      <c r="K228" s="42"/>
      <c r="O228" s="45"/>
      <c r="P228" s="46"/>
      <c r="Q228" s="47"/>
      <c r="R228" s="46"/>
      <c r="S228" s="48"/>
      <c r="T228" s="49"/>
      <c r="U228" s="46"/>
      <c r="V228" s="50">
        <v>464000</v>
      </c>
      <c r="W228" s="50">
        <v>464000</v>
      </c>
      <c r="X228" s="50">
        <v>451000</v>
      </c>
      <c r="Y228" s="50">
        <v>451000</v>
      </c>
      <c r="Z228" s="50">
        <v>439000</v>
      </c>
    </row>
    <row r="229" spans="1:26" ht="12.75" outlineLevel="1">
      <c r="A229" s="41" t="s">
        <v>272</v>
      </c>
      <c r="B229" s="42"/>
      <c r="C229" s="42"/>
      <c r="D229" s="42"/>
      <c r="E229" s="42"/>
      <c r="F229" s="43"/>
      <c r="G229" s="42"/>
      <c r="H229" s="42"/>
      <c r="I229" s="42"/>
      <c r="J229" s="42"/>
      <c r="K229" s="42"/>
      <c r="O229" s="45"/>
      <c r="P229" s="46"/>
      <c r="Q229" s="47"/>
      <c r="R229" s="46"/>
      <c r="S229" s="48"/>
      <c r="T229" s="49"/>
      <c r="U229" s="46"/>
      <c r="V229" s="50">
        <v>250000</v>
      </c>
      <c r="W229" s="50">
        <v>250000</v>
      </c>
      <c r="X229" s="50">
        <v>250000</v>
      </c>
      <c r="Y229" s="50">
        <v>250000</v>
      </c>
      <c r="Z229" s="50">
        <v>250000</v>
      </c>
    </row>
    <row r="230" spans="1:26" ht="12.75" outlineLevel="1">
      <c r="A230" s="41" t="s">
        <v>273</v>
      </c>
      <c r="B230" s="42"/>
      <c r="C230" s="42"/>
      <c r="D230" s="42"/>
      <c r="E230" s="42"/>
      <c r="F230" s="43"/>
      <c r="G230" s="42"/>
      <c r="H230" s="42"/>
      <c r="I230" s="42"/>
      <c r="J230" s="42"/>
      <c r="K230" s="42"/>
      <c r="O230" s="45"/>
      <c r="P230" s="46"/>
      <c r="Q230" s="47"/>
      <c r="R230" s="46"/>
      <c r="S230" s="48"/>
      <c r="T230" s="49"/>
      <c r="U230" s="46"/>
      <c r="V230" s="50">
        <v>300000</v>
      </c>
      <c r="W230" s="50">
        <v>300000</v>
      </c>
      <c r="X230" s="50">
        <v>300000</v>
      </c>
      <c r="Y230" s="50">
        <v>100000</v>
      </c>
      <c r="Z230" s="50">
        <v>100000</v>
      </c>
    </row>
    <row r="231" spans="1:26" ht="12.75" outlineLevel="1">
      <c r="A231" s="41" t="s">
        <v>274</v>
      </c>
      <c r="B231" s="42"/>
      <c r="C231" s="42"/>
      <c r="D231" s="42"/>
      <c r="E231" s="42"/>
      <c r="F231" s="43"/>
      <c r="G231" s="42"/>
      <c r="H231" s="42"/>
      <c r="I231" s="42"/>
      <c r="J231" s="42"/>
      <c r="K231" s="42"/>
      <c r="O231" s="45"/>
      <c r="P231" s="46"/>
      <c r="Q231" s="47"/>
      <c r="R231" s="46"/>
      <c r="S231" s="48"/>
      <c r="T231" s="49"/>
      <c r="U231" s="46"/>
      <c r="V231" s="50">
        <v>200000</v>
      </c>
      <c r="W231" s="50">
        <v>200000</v>
      </c>
      <c r="X231" s="50">
        <v>200000</v>
      </c>
      <c r="Y231" s="50">
        <v>200000</v>
      </c>
      <c r="Z231" s="50">
        <v>200000</v>
      </c>
    </row>
    <row r="232" spans="1:26" ht="12.75" outlineLevel="1">
      <c r="A232" s="41" t="s">
        <v>275</v>
      </c>
      <c r="B232" s="42"/>
      <c r="C232" s="42"/>
      <c r="D232" s="42"/>
      <c r="E232" s="42"/>
      <c r="F232" s="43"/>
      <c r="G232" s="42"/>
      <c r="H232" s="42"/>
      <c r="I232" s="42"/>
      <c r="J232" s="42"/>
      <c r="K232" s="42"/>
      <c r="O232" s="45"/>
      <c r="P232" s="46"/>
      <c r="Q232" s="47"/>
      <c r="R232" s="46"/>
      <c r="S232" s="48"/>
      <c r="T232" s="49"/>
      <c r="U232" s="46"/>
      <c r="V232" s="50">
        <v>150000</v>
      </c>
      <c r="W232" s="50">
        <v>150000</v>
      </c>
      <c r="X232" s="50">
        <v>150000</v>
      </c>
      <c r="Y232" s="50">
        <v>150000</v>
      </c>
      <c r="Z232" s="50">
        <v>150000</v>
      </c>
    </row>
    <row r="233" spans="1:26" ht="12.75" outlineLevel="1">
      <c r="A233" s="41" t="s">
        <v>276</v>
      </c>
      <c r="B233" s="42"/>
      <c r="C233" s="42"/>
      <c r="D233" s="42"/>
      <c r="E233" s="42"/>
      <c r="F233" s="43"/>
      <c r="G233" s="42"/>
      <c r="H233" s="42"/>
      <c r="I233" s="42"/>
      <c r="J233" s="42"/>
      <c r="K233" s="42"/>
      <c r="O233" s="45"/>
      <c r="P233" s="46"/>
      <c r="Q233" s="47"/>
      <c r="R233" s="46"/>
      <c r="S233" s="48"/>
      <c r="T233" s="49"/>
      <c r="U233" s="46"/>
      <c r="V233" s="50">
        <v>100000</v>
      </c>
      <c r="W233" s="50">
        <v>100000</v>
      </c>
      <c r="X233" s="50">
        <v>100000</v>
      </c>
      <c r="Y233" s="50">
        <v>100000</v>
      </c>
      <c r="Z233" s="50">
        <v>100000</v>
      </c>
    </row>
    <row r="234" spans="1:26" ht="12.75" outlineLevel="1">
      <c r="A234" s="41" t="s">
        <v>277</v>
      </c>
      <c r="B234" s="42"/>
      <c r="C234" s="42"/>
      <c r="D234" s="42"/>
      <c r="E234" s="42"/>
      <c r="F234" s="43"/>
      <c r="G234" s="42"/>
      <c r="H234" s="42"/>
      <c r="I234" s="42"/>
      <c r="J234" s="42"/>
      <c r="K234" s="42"/>
      <c r="O234" s="45"/>
      <c r="P234" s="46"/>
      <c r="Q234" s="47"/>
      <c r="R234" s="46"/>
      <c r="S234" s="48"/>
      <c r="T234" s="49"/>
      <c r="U234" s="46"/>
      <c r="V234" s="50">
        <v>117000</v>
      </c>
      <c r="W234" s="50">
        <v>117000</v>
      </c>
      <c r="X234" s="50">
        <v>117000</v>
      </c>
      <c r="Y234" s="50">
        <v>117000</v>
      </c>
      <c r="Z234" s="50">
        <v>117000</v>
      </c>
    </row>
    <row r="235" spans="1:26" ht="12.75" outlineLevel="1">
      <c r="A235" s="41" t="s">
        <v>278</v>
      </c>
      <c r="B235" s="42"/>
      <c r="C235" s="42"/>
      <c r="D235" s="42"/>
      <c r="E235" s="42"/>
      <c r="F235" s="43"/>
      <c r="G235" s="42"/>
      <c r="H235" s="42"/>
      <c r="I235" s="42"/>
      <c r="J235" s="42"/>
      <c r="K235" s="42"/>
      <c r="O235" s="45"/>
      <c r="P235" s="46"/>
      <c r="Q235" s="47"/>
      <c r="R235" s="46"/>
      <c r="S235" s="48"/>
      <c r="T235" s="49"/>
      <c r="U235" s="46"/>
      <c r="V235" s="50">
        <v>19000</v>
      </c>
      <c r="W235" s="50">
        <v>19000</v>
      </c>
      <c r="X235" s="50">
        <v>19000</v>
      </c>
      <c r="Y235" s="50">
        <v>19000</v>
      </c>
      <c r="Z235" s="50">
        <v>19000</v>
      </c>
    </row>
    <row r="236" spans="1:26" ht="12.75" outlineLevel="1">
      <c r="A236" s="41" t="s">
        <v>279</v>
      </c>
      <c r="B236" s="42"/>
      <c r="C236" s="42"/>
      <c r="D236" s="42"/>
      <c r="E236" s="42"/>
      <c r="F236" s="43"/>
      <c r="G236" s="42"/>
      <c r="H236" s="42"/>
      <c r="I236" s="42"/>
      <c r="J236" s="42"/>
      <c r="K236" s="42"/>
      <c r="O236" s="45"/>
      <c r="P236" s="46"/>
      <c r="Q236" s="47"/>
      <c r="R236" s="46"/>
      <c r="S236" s="48"/>
      <c r="T236" s="49"/>
      <c r="U236" s="46"/>
      <c r="V236" s="50">
        <v>94000</v>
      </c>
      <c r="W236" s="50">
        <v>94000</v>
      </c>
      <c r="X236" s="50">
        <v>94000</v>
      </c>
      <c r="Y236" s="50">
        <v>80000</v>
      </c>
      <c r="Z236" s="50">
        <v>80000</v>
      </c>
    </row>
    <row r="237" spans="1:26" ht="12.75" outlineLevel="1">
      <c r="A237" s="41"/>
      <c r="B237" s="42"/>
      <c r="C237" s="42"/>
      <c r="D237" s="42"/>
      <c r="E237" s="42"/>
      <c r="F237" s="43"/>
      <c r="G237" s="42"/>
      <c r="H237" s="42"/>
      <c r="I237" s="42"/>
      <c r="J237" s="42"/>
      <c r="K237" s="42"/>
      <c r="O237" s="45"/>
      <c r="P237" s="46"/>
      <c r="Q237" s="47"/>
      <c r="R237" s="46"/>
      <c r="S237" s="48"/>
      <c r="T237" s="49"/>
      <c r="U237" s="46"/>
      <c r="V237" s="51"/>
      <c r="W237" s="51"/>
      <c r="X237" s="51"/>
      <c r="Y237" s="51"/>
      <c r="Z237" s="51"/>
    </row>
    <row r="238" spans="1:26" ht="13.5" thickBot="1">
      <c r="A238" s="95" t="s">
        <v>302</v>
      </c>
      <c r="B238" s="19">
        <f>SUM(B188:B215)</f>
        <v>20444000</v>
      </c>
      <c r="C238" s="19">
        <f>SUM(C188:C215)</f>
        <v>14930137.410000004</v>
      </c>
      <c r="D238" s="19">
        <f>SUM(D188:D215)</f>
        <v>-5513862.59</v>
      </c>
      <c r="E238" s="19">
        <f>SUM(E188:E215)</f>
        <v>2700884</v>
      </c>
      <c r="F238" s="20"/>
      <c r="G238" s="21"/>
      <c r="H238" s="19">
        <f>SUM(H188:H215)</f>
        <v>8500000</v>
      </c>
      <c r="I238" s="19">
        <f>SUM(I188:I215)</f>
        <v>0</v>
      </c>
      <c r="J238" s="19">
        <f>SUM(J188:J215)</f>
        <v>0</v>
      </c>
      <c r="K238" s="19">
        <f>SUM(K188:K215)</f>
        <v>0</v>
      </c>
      <c r="L238" s="22"/>
      <c r="M238" s="22"/>
      <c r="N238" s="19">
        <f>SUM(N188:N215)</f>
        <v>8500000</v>
      </c>
      <c r="O238" s="23">
        <f>SUM(O188:O215)</f>
        <v>2700884</v>
      </c>
      <c r="P238" s="23">
        <f>SUM(P188:P216)</f>
        <v>11200884</v>
      </c>
      <c r="Q238" s="23">
        <f>SUM(Q188:Q216)</f>
        <v>2865122.9</v>
      </c>
      <c r="R238" s="23">
        <f>SUM(R188:R216)</f>
        <v>-8335761.1</v>
      </c>
      <c r="S238" s="23">
        <f>SUM(S188:S216)</f>
        <v>10160040</v>
      </c>
      <c r="T238" s="24">
        <f>Q238/P238</f>
        <v>0.2557943551598249</v>
      </c>
      <c r="U238" s="7">
        <f t="shared" si="19"/>
        <v>-1040844</v>
      </c>
      <c r="V238" s="25">
        <f>SUM(V188:V237)</f>
        <v>8395000</v>
      </c>
      <c r="W238" s="25">
        <f>SUM(W188:W237)</f>
        <v>8375000</v>
      </c>
      <c r="X238" s="25">
        <f>SUM(X188:X237)</f>
        <v>8029000</v>
      </c>
      <c r="Y238" s="25">
        <f>SUM(Y188:Y237)</f>
        <v>7736000</v>
      </c>
      <c r="Z238" s="25">
        <f>SUM(Z188:Z237)</f>
        <v>7437000</v>
      </c>
    </row>
    <row r="239" spans="2:26" ht="6.75" customHeight="1">
      <c r="B239" s="80"/>
      <c r="C239" s="80"/>
      <c r="D239" s="80"/>
      <c r="E239" s="80"/>
      <c r="F239" s="81"/>
      <c r="G239" s="42"/>
      <c r="H239" s="80"/>
      <c r="I239" s="80"/>
      <c r="J239" s="80"/>
      <c r="K239" s="80"/>
      <c r="N239" s="80"/>
      <c r="O239" s="46"/>
      <c r="P239" s="46"/>
      <c r="Q239" s="46"/>
      <c r="R239" s="46"/>
      <c r="S239" s="46"/>
      <c r="T239" s="49"/>
      <c r="U239" s="46">
        <f t="shared" si="19"/>
        <v>0</v>
      </c>
      <c r="V239" s="46"/>
      <c r="W239" s="46"/>
      <c r="X239" s="46"/>
      <c r="Y239" s="46"/>
      <c r="Z239" s="46"/>
    </row>
    <row r="240" spans="1:26" s="66" customFormat="1" ht="13.5" thickBot="1">
      <c r="A240" s="22" t="s">
        <v>303</v>
      </c>
      <c r="B240" s="21">
        <f>SUM(B187,B238)</f>
        <v>36200756</v>
      </c>
      <c r="C240" s="21">
        <f>SUM(C187,C238)</f>
        <v>26001300.01</v>
      </c>
      <c r="D240" s="21">
        <f>SUM(D187,D238)</f>
        <v>-10199455.989999998</v>
      </c>
      <c r="E240" s="21">
        <f>SUM(E187,E238)</f>
        <v>6202173.55</v>
      </c>
      <c r="F240" s="20"/>
      <c r="G240" s="21"/>
      <c r="H240" s="21">
        <f>SUM(H187,H238)</f>
        <v>25072829</v>
      </c>
      <c r="I240" s="21">
        <f>SUM(I187,I238)</f>
        <v>3862000</v>
      </c>
      <c r="J240" s="21">
        <f>SUM(J187,J238)</f>
        <v>3309000</v>
      </c>
      <c r="K240" s="21">
        <f>SUM(K187,K238)</f>
        <v>3168000</v>
      </c>
      <c r="L240" s="26"/>
      <c r="M240" s="26"/>
      <c r="N240" s="21">
        <f aca="true" t="shared" si="24" ref="N240:S240">SUM(N187,N238)</f>
        <v>28777335</v>
      </c>
      <c r="O240" s="7">
        <f t="shared" si="24"/>
        <v>6202173.55</v>
      </c>
      <c r="P240" s="7">
        <f t="shared" si="24"/>
        <v>34979508.55</v>
      </c>
      <c r="Q240" s="7">
        <f t="shared" si="24"/>
        <v>6098755.209999999</v>
      </c>
      <c r="R240" s="7">
        <f t="shared" si="24"/>
        <v>-28880753.339999996</v>
      </c>
      <c r="S240" s="7">
        <f t="shared" si="24"/>
        <v>25673049.06</v>
      </c>
      <c r="T240" s="24">
        <f>Q240/P240</f>
        <v>0.1743522268553999</v>
      </c>
      <c r="U240" s="7">
        <f t="shared" si="19"/>
        <v>-9306459.489999998</v>
      </c>
      <c r="V240" s="7">
        <f>SUM(V187,V238)</f>
        <v>24515342</v>
      </c>
      <c r="W240" s="7">
        <f>SUM(W187,W238)</f>
        <v>17421000</v>
      </c>
      <c r="X240" s="7">
        <f>SUM(X187,X238)</f>
        <v>13087000</v>
      </c>
      <c r="Y240" s="7">
        <f>SUM(Y187,Y238)</f>
        <v>11582000</v>
      </c>
      <c r="Z240" s="7">
        <f>SUM(Z187,Z238)</f>
        <v>9935000</v>
      </c>
    </row>
    <row r="241" spans="2:21" ht="12.75">
      <c r="B241" s="80"/>
      <c r="C241" s="80"/>
      <c r="D241" s="80"/>
      <c r="E241" s="80"/>
      <c r="F241" s="81"/>
      <c r="G241" s="42"/>
      <c r="H241" s="80"/>
      <c r="I241" s="80"/>
      <c r="J241" s="80"/>
      <c r="K241" s="80"/>
      <c r="O241" s="46"/>
      <c r="P241" s="46"/>
      <c r="Q241" s="46"/>
      <c r="R241" s="46"/>
      <c r="S241" s="46"/>
      <c r="U241" s="46"/>
    </row>
    <row r="242" spans="1:25" ht="15">
      <c r="A242" s="102" t="s">
        <v>297</v>
      </c>
      <c r="B242" s="80"/>
      <c r="C242" s="80"/>
      <c r="E242" s="80"/>
      <c r="F242" s="81"/>
      <c r="G242" s="42"/>
      <c r="H242" s="80"/>
      <c r="I242" s="80"/>
      <c r="J242" s="80"/>
      <c r="K242" s="80"/>
      <c r="O242" s="46"/>
      <c r="P242" s="46"/>
      <c r="Q242" s="46"/>
      <c r="R242" s="46"/>
      <c r="S242" s="46"/>
      <c r="U242" s="46"/>
      <c r="V242" s="46"/>
      <c r="W242" s="46"/>
      <c r="X242" s="46"/>
      <c r="Y242" s="46"/>
    </row>
    <row r="243" spans="1:21" ht="15">
      <c r="A243" s="102"/>
      <c r="B243" s="80"/>
      <c r="C243" s="80"/>
      <c r="E243" s="80"/>
      <c r="F243" s="81"/>
      <c r="G243" s="42"/>
      <c r="H243" s="80"/>
      <c r="I243" s="80"/>
      <c r="J243" s="80"/>
      <c r="K243" s="80"/>
      <c r="O243" s="46"/>
      <c r="P243" s="46"/>
      <c r="Q243" s="46"/>
      <c r="R243" s="46"/>
      <c r="S243" s="46"/>
      <c r="U243" s="46"/>
    </row>
    <row r="244" spans="1:26" ht="12.75">
      <c r="A244" s="88" t="s">
        <v>280</v>
      </c>
      <c r="B244" s="82">
        <v>500000</v>
      </c>
      <c r="C244" s="82">
        <v>416055.99</v>
      </c>
      <c r="D244" s="82">
        <f>+SUM(C244-B244)</f>
        <v>-83944.01000000001</v>
      </c>
      <c r="E244" s="82">
        <f>716222-686716</f>
        <v>29506</v>
      </c>
      <c r="F244" s="83"/>
      <c r="G244" s="38"/>
      <c r="H244" s="66"/>
      <c r="I244" s="66"/>
      <c r="J244" s="66"/>
      <c r="K244" s="66"/>
      <c r="L244" s="66"/>
      <c r="M244" s="66"/>
      <c r="N244" s="66"/>
      <c r="O244" s="84"/>
      <c r="P244" s="84">
        <v>1584691</v>
      </c>
      <c r="Q244" s="84"/>
      <c r="R244" s="84"/>
      <c r="S244" s="36">
        <v>1744628</v>
      </c>
      <c r="T244" s="85"/>
      <c r="U244" s="36">
        <f aca="true" t="shared" si="25" ref="U244:U254">+S244-P244</f>
        <v>159937</v>
      </c>
      <c r="V244" s="86"/>
      <c r="W244" s="86"/>
      <c r="X244" s="86"/>
      <c r="Y244" s="86"/>
      <c r="Z244" s="86"/>
    </row>
    <row r="245" spans="1:26" ht="12.75">
      <c r="A245" s="88" t="s">
        <v>281</v>
      </c>
      <c r="B245" s="82">
        <v>2050000</v>
      </c>
      <c r="C245" s="82">
        <v>1547333</v>
      </c>
      <c r="D245" s="82">
        <f>+SUM(C245-B245)</f>
        <v>-502667</v>
      </c>
      <c r="E245" s="82">
        <f>184671+127091</f>
        <v>311762</v>
      </c>
      <c r="F245" s="83"/>
      <c r="G245" s="38"/>
      <c r="H245" s="66"/>
      <c r="I245" s="66"/>
      <c r="J245" s="66"/>
      <c r="K245" s="66"/>
      <c r="L245" s="66"/>
      <c r="M245" s="66"/>
      <c r="N245" s="66"/>
      <c r="O245" s="84"/>
      <c r="P245" s="84">
        <v>4648280</v>
      </c>
      <c r="Q245" s="84"/>
      <c r="R245" s="84"/>
      <c r="S245" s="36">
        <f>4648280-800000</f>
        <v>3848280</v>
      </c>
      <c r="T245" s="85"/>
      <c r="U245" s="36">
        <f t="shared" si="25"/>
        <v>-800000</v>
      </c>
      <c r="V245" s="36">
        <f>390000+200000</f>
        <v>590000</v>
      </c>
      <c r="W245" s="36">
        <v>390000</v>
      </c>
      <c r="X245" s="36">
        <v>390000</v>
      </c>
      <c r="Y245" s="36">
        <v>390000</v>
      </c>
      <c r="Z245" s="36">
        <v>390000</v>
      </c>
    </row>
    <row r="246" spans="1:26" ht="12.75">
      <c r="A246" s="88" t="s">
        <v>282</v>
      </c>
      <c r="B246" s="82">
        <v>4822542</v>
      </c>
      <c r="C246" s="82">
        <v>1496702</v>
      </c>
      <c r="D246" s="82">
        <f>+SUM(C246-B246)</f>
        <v>-3325840</v>
      </c>
      <c r="E246" s="82">
        <v>1396396</v>
      </c>
      <c r="F246" s="83"/>
      <c r="G246" s="38"/>
      <c r="H246" s="66"/>
      <c r="I246" s="66"/>
      <c r="J246" s="66"/>
      <c r="K246" s="66"/>
      <c r="L246" s="66"/>
      <c r="M246" s="66"/>
      <c r="N246" s="66"/>
      <c r="O246" s="84"/>
      <c r="P246" s="84">
        <v>7152242</v>
      </c>
      <c r="Q246" s="84"/>
      <c r="R246" s="84"/>
      <c r="S246" s="36">
        <f>5623292+410517+228000</f>
        <v>6261809</v>
      </c>
      <c r="T246" s="85"/>
      <c r="U246" s="36">
        <f t="shared" si="25"/>
        <v>-890433</v>
      </c>
      <c r="V246" s="36">
        <f>3500000+150000+50000+200000</f>
        <v>3900000</v>
      </c>
      <c r="W246" s="36">
        <f>1577583+135000+1000000+150000-350000-250000</f>
        <v>2262583</v>
      </c>
      <c r="X246" s="36">
        <v>1000000</v>
      </c>
      <c r="Y246" s="36">
        <v>632220</v>
      </c>
      <c r="Z246" s="36"/>
    </row>
    <row r="247" spans="1:26" ht="12.75">
      <c r="A247" s="88" t="s">
        <v>283</v>
      </c>
      <c r="B247" s="82">
        <v>2500000</v>
      </c>
      <c r="C247" s="82">
        <f>2454834-50000</f>
        <v>2404834</v>
      </c>
      <c r="D247" s="82">
        <f>+SUM(C247-B247)</f>
        <v>-95166</v>
      </c>
      <c r="E247" s="82">
        <v>0</v>
      </c>
      <c r="F247" s="83"/>
      <c r="G247" s="38"/>
      <c r="H247" s="66"/>
      <c r="I247" s="66"/>
      <c r="J247" s="66"/>
      <c r="K247" s="66"/>
      <c r="L247" s="66"/>
      <c r="M247" s="66"/>
      <c r="N247" s="66"/>
      <c r="O247" s="84"/>
      <c r="P247" s="84">
        <v>1723292</v>
      </c>
      <c r="Q247" s="84"/>
      <c r="R247" s="84"/>
      <c r="S247" s="36">
        <v>1423292</v>
      </c>
      <c r="T247" s="85"/>
      <c r="U247" s="36">
        <f t="shared" si="25"/>
        <v>-300000</v>
      </c>
      <c r="V247" s="36">
        <f>1150000+2505000+95000-150000</f>
        <v>3600000</v>
      </c>
      <c r="W247" s="36">
        <f>114880+1200000+175120-150000</f>
        <v>1340000</v>
      </c>
      <c r="X247" s="36">
        <f>1100000+233280</f>
        <v>1333280</v>
      </c>
      <c r="Y247" s="36">
        <f>843780+610000</f>
        <v>1453780</v>
      </c>
      <c r="Z247" s="36">
        <f>610000+1056780-253780+50000</f>
        <v>1463000</v>
      </c>
    </row>
    <row r="248" spans="1:26" ht="12.75">
      <c r="A248" s="88" t="s">
        <v>284</v>
      </c>
      <c r="B248" s="82"/>
      <c r="C248" s="82"/>
      <c r="D248" s="82"/>
      <c r="E248" s="82"/>
      <c r="F248" s="83"/>
      <c r="G248" s="38"/>
      <c r="H248" s="66"/>
      <c r="I248" s="66"/>
      <c r="J248" s="66"/>
      <c r="K248" s="66"/>
      <c r="L248" s="66"/>
      <c r="M248" s="66"/>
      <c r="N248" s="66"/>
      <c r="O248" s="84"/>
      <c r="P248" s="84"/>
      <c r="Q248" s="84"/>
      <c r="R248" s="84"/>
      <c r="S248" s="36">
        <v>772000</v>
      </c>
      <c r="T248" s="85"/>
      <c r="U248" s="36">
        <f t="shared" si="25"/>
        <v>772000</v>
      </c>
      <c r="V248" s="36">
        <v>457505</v>
      </c>
      <c r="W248" s="36">
        <v>356000</v>
      </c>
      <c r="X248" s="36"/>
      <c r="Y248" s="36"/>
      <c r="Z248" s="36"/>
    </row>
    <row r="249" spans="1:26" ht="12.75">
      <c r="A249" s="88" t="s">
        <v>285</v>
      </c>
      <c r="B249" s="82">
        <v>4000000</v>
      </c>
      <c r="C249" s="82">
        <v>4037688</v>
      </c>
      <c r="D249" s="82">
        <f>+SUM(C249-B249)</f>
        <v>37688</v>
      </c>
      <c r="E249" s="82">
        <f>+E145+585509+686716</f>
        <v>1763625</v>
      </c>
      <c r="F249" s="83"/>
      <c r="G249" s="38"/>
      <c r="H249" s="66"/>
      <c r="I249" s="66"/>
      <c r="J249" s="66"/>
      <c r="K249" s="66"/>
      <c r="L249" s="66"/>
      <c r="M249" s="66"/>
      <c r="N249" s="66"/>
      <c r="O249" s="84"/>
      <c r="P249" s="84">
        <f>+P148+P145</f>
        <v>1091400</v>
      </c>
      <c r="Q249" s="84"/>
      <c r="R249" s="84"/>
      <c r="S249" s="36">
        <v>1463000</v>
      </c>
      <c r="T249" s="85"/>
      <c r="U249" s="36">
        <f t="shared" si="25"/>
        <v>371600</v>
      </c>
      <c r="V249" s="36">
        <v>1291000</v>
      </c>
      <c r="W249" s="36">
        <v>1230000</v>
      </c>
      <c r="X249" s="36">
        <v>1270000</v>
      </c>
      <c r="Y249" s="36">
        <v>1370000</v>
      </c>
      <c r="Z249" s="36">
        <f>1282000-334000-303000</f>
        <v>645000</v>
      </c>
    </row>
    <row r="250" spans="1:26" ht="12.75">
      <c r="A250" s="88" t="s">
        <v>286</v>
      </c>
      <c r="B250" s="82"/>
      <c r="C250" s="82"/>
      <c r="D250" s="82"/>
      <c r="E250" s="82"/>
      <c r="F250" s="83"/>
      <c r="G250" s="38"/>
      <c r="H250" s="66"/>
      <c r="I250" s="66"/>
      <c r="J250" s="66"/>
      <c r="K250" s="66"/>
      <c r="L250" s="66"/>
      <c r="M250" s="66"/>
      <c r="N250" s="66"/>
      <c r="O250" s="84"/>
      <c r="P250" s="84">
        <f>8670120-1091400</f>
        <v>7578720</v>
      </c>
      <c r="Q250" s="84"/>
      <c r="R250" s="84"/>
      <c r="S250" s="36"/>
      <c r="T250" s="85"/>
      <c r="U250" s="36">
        <f t="shared" si="25"/>
        <v>-7578720</v>
      </c>
      <c r="V250" s="36">
        <f>700000+V124-1506234+150000</f>
        <v>6281837</v>
      </c>
      <c r="W250" s="36">
        <f>4602417-135000-1000000</f>
        <v>3467417</v>
      </c>
      <c r="X250" s="36">
        <f>2064720-1000000</f>
        <v>1064720</v>
      </c>
      <c r="Y250" s="36"/>
      <c r="Z250" s="36"/>
    </row>
    <row r="251" spans="1:26" ht="12.75">
      <c r="A251" s="54" t="s">
        <v>305</v>
      </c>
      <c r="B251" s="80">
        <v>5300000</v>
      </c>
      <c r="C251" s="80">
        <v>5367455</v>
      </c>
      <c r="D251" s="80">
        <f>+SUM(C251-B251)</f>
        <v>67455</v>
      </c>
      <c r="E251" s="80">
        <v>0</v>
      </c>
      <c r="O251" s="46"/>
      <c r="P251" s="46">
        <v>5200000</v>
      </c>
      <c r="Q251" s="46"/>
      <c r="R251" s="46"/>
      <c r="S251" s="46">
        <v>5200000</v>
      </c>
      <c r="T251" s="80"/>
      <c r="U251" s="46">
        <f>+S251-P251</f>
        <v>0</v>
      </c>
      <c r="V251" s="50">
        <v>8395000</v>
      </c>
      <c r="W251" s="50">
        <v>8375000</v>
      </c>
      <c r="X251" s="50">
        <v>8029000</v>
      </c>
      <c r="Y251" s="50">
        <v>7736000</v>
      </c>
      <c r="Z251" s="36"/>
    </row>
    <row r="252" spans="1:26" ht="13.5" thickBot="1">
      <c r="A252" s="22" t="s">
        <v>287</v>
      </c>
      <c r="B252" s="21">
        <f>SUM(B244:B249)</f>
        <v>13872542</v>
      </c>
      <c r="C252" s="21">
        <f>SUM(C244:C249)</f>
        <v>9902612.99</v>
      </c>
      <c r="D252" s="21">
        <f>SUM(D244:D249)</f>
        <v>-3969929.01</v>
      </c>
      <c r="E252" s="21">
        <f>SUM(E244:E249)</f>
        <v>3501289</v>
      </c>
      <c r="F252" s="27"/>
      <c r="G252" s="28"/>
      <c r="H252" s="21">
        <f>SUM(H244:H249)</f>
        <v>0</v>
      </c>
      <c r="I252" s="21">
        <f>SUM(I244:I249)</f>
        <v>0</v>
      </c>
      <c r="J252" s="21">
        <f>SUM(J244:J249)</f>
        <v>0</v>
      </c>
      <c r="K252" s="21">
        <f>SUM(K244:K249)</f>
        <v>0</v>
      </c>
      <c r="L252" s="28"/>
      <c r="M252" s="28"/>
      <c r="N252" s="21">
        <f>SUM(N244:N249)</f>
        <v>0</v>
      </c>
      <c r="O252" s="7">
        <f>SUM(O244:O249)</f>
        <v>0</v>
      </c>
      <c r="P252" s="7">
        <f>SUM(P244:P250)</f>
        <v>23778625</v>
      </c>
      <c r="Q252" s="7"/>
      <c r="R252" s="7"/>
      <c r="S252" s="7">
        <f>SUM(S244:S250)</f>
        <v>15513009</v>
      </c>
      <c r="T252" s="7">
        <f>SUM(T244:T250)</f>
        <v>0</v>
      </c>
      <c r="U252" s="7">
        <f t="shared" si="25"/>
        <v>-8265616</v>
      </c>
      <c r="V252" s="7">
        <f>SUM(V244:V251)</f>
        <v>24515342</v>
      </c>
      <c r="W252" s="7">
        <f>SUM(W244:W251)</f>
        <v>17421000</v>
      </c>
      <c r="X252" s="7">
        <f>SUM(X244:X251)</f>
        <v>13087000</v>
      </c>
      <c r="Y252" s="7">
        <f>SUM(Y244:Y251)</f>
        <v>11582000</v>
      </c>
      <c r="Z252" s="7">
        <f>SUM(Z244:Z250)</f>
        <v>2498000</v>
      </c>
    </row>
    <row r="253" spans="2:21" ht="5.25" customHeight="1">
      <c r="B253" s="80"/>
      <c r="C253" s="80"/>
      <c r="D253" s="80"/>
      <c r="E253" s="80"/>
      <c r="O253" s="46"/>
      <c r="P253" s="46"/>
      <c r="Q253" s="46"/>
      <c r="R253" s="46"/>
      <c r="S253" s="46"/>
      <c r="U253" s="46"/>
    </row>
    <row r="254" spans="1:26" ht="12.75" hidden="1">
      <c r="A254" s="38" t="s">
        <v>288</v>
      </c>
      <c r="B254" s="85"/>
      <c r="C254" s="86"/>
      <c r="D254" s="86"/>
      <c r="E254" s="86"/>
      <c r="F254" s="87"/>
      <c r="G254" s="88"/>
      <c r="H254" s="86"/>
      <c r="I254" s="86"/>
      <c r="J254" s="86"/>
      <c r="K254" s="86"/>
      <c r="L254" s="86"/>
      <c r="M254" s="86"/>
      <c r="N254" s="86"/>
      <c r="O254" s="86"/>
      <c r="P254" s="84" t="e">
        <f>+#REF!-P240</f>
        <v>#REF!</v>
      </c>
      <c r="Q254" s="66"/>
      <c r="R254" s="66"/>
      <c r="S254" s="84" t="e">
        <f>+#REF!-S240</f>
        <v>#REF!</v>
      </c>
      <c r="T254" s="66"/>
      <c r="U254" s="46" t="e">
        <f t="shared" si="25"/>
        <v>#REF!</v>
      </c>
      <c r="V254" s="84">
        <f>+V252-V240</f>
        <v>0</v>
      </c>
      <c r="W254" s="84">
        <f>+W252-W240</f>
        <v>0</v>
      </c>
      <c r="X254" s="84">
        <f>+X252-X240</f>
        <v>0</v>
      </c>
      <c r="Y254" s="84">
        <f>+Y252-Y240</f>
        <v>0</v>
      </c>
      <c r="Z254" s="84" t="e">
        <f>+#REF!-Z240</f>
        <v>#REF!</v>
      </c>
    </row>
    <row r="255" spans="3:26" ht="15" customHeight="1">
      <c r="C255" s="46"/>
      <c r="V255" s="46"/>
      <c r="W255" s="46"/>
      <c r="X255" s="46"/>
      <c r="Y255" s="46"/>
      <c r="Z255" s="46"/>
    </row>
    <row r="256" ht="12" customHeight="1"/>
    <row r="257" ht="12.75" hidden="1"/>
    <row r="258" spans="1:26" ht="12.75" hidden="1">
      <c r="A258" s="54" t="s">
        <v>289</v>
      </c>
      <c r="V258" s="29">
        <v>2000000</v>
      </c>
      <c r="W258" s="29">
        <v>390000</v>
      </c>
      <c r="X258" s="29">
        <v>340000</v>
      </c>
      <c r="Y258" s="29">
        <v>1000000</v>
      </c>
      <c r="Z258" s="29">
        <v>500000</v>
      </c>
    </row>
    <row r="259" spans="1:26" ht="12.75" hidden="1">
      <c r="A259" s="54" t="s">
        <v>290</v>
      </c>
      <c r="S259" s="44">
        <v>1423292</v>
      </c>
      <c r="T259" s="44">
        <v>1150000</v>
      </c>
      <c r="U259" s="44">
        <v>1200000</v>
      </c>
      <c r="V259" s="44">
        <v>1150000</v>
      </c>
      <c r="W259" s="44">
        <v>1200000</v>
      </c>
      <c r="X259" s="44">
        <v>1100000</v>
      </c>
      <c r="Y259" s="44">
        <v>610000</v>
      </c>
      <c r="Z259" s="89">
        <v>610000</v>
      </c>
    </row>
    <row r="260" ht="12.75" hidden="1"/>
    <row r="261" spans="19:26" ht="12.75" hidden="1">
      <c r="S261" s="44">
        <f>+SUM(S259+S258)</f>
        <v>1423292</v>
      </c>
      <c r="V261" s="44">
        <f>+SUM(V259+V258)</f>
        <v>3150000</v>
      </c>
      <c r="W261" s="44">
        <f>+SUM(W259+W258)</f>
        <v>1590000</v>
      </c>
      <c r="X261" s="44">
        <f>+SUM(X259+X258)</f>
        <v>1440000</v>
      </c>
      <c r="Y261" s="44">
        <f>+SUM(Y259+Y258)</f>
        <v>1610000</v>
      </c>
      <c r="Z261" s="44">
        <f>+SUM(Z259+Z258)</f>
        <v>1110000</v>
      </c>
    </row>
    <row r="262" ht="12.75" hidden="1"/>
    <row r="263" ht="12.75" hidden="1">
      <c r="A263" s="54" t="s">
        <v>291</v>
      </c>
    </row>
    <row r="264" spans="1:26" ht="12.75" hidden="1">
      <c r="A264" s="54" t="s">
        <v>292</v>
      </c>
      <c r="W264" s="44">
        <v>535000</v>
      </c>
      <c r="X264" s="44">
        <v>535000</v>
      </c>
      <c r="Y264" s="44">
        <v>535000</v>
      </c>
      <c r="Z264" s="44">
        <v>535000</v>
      </c>
    </row>
    <row r="265" spans="1:26" ht="12.75" hidden="1">
      <c r="A265" s="54" t="s">
        <v>293</v>
      </c>
      <c r="X265" s="44">
        <v>285000</v>
      </c>
      <c r="Y265" s="44">
        <v>285000</v>
      </c>
      <c r="Z265" s="44">
        <v>285000</v>
      </c>
    </row>
    <row r="266" spans="25:26" ht="12.75" hidden="1">
      <c r="Y266" s="44">
        <v>142000</v>
      </c>
      <c r="Z266" s="44">
        <v>142000</v>
      </c>
    </row>
    <row r="267" ht="12.75" hidden="1">
      <c r="Z267" s="44">
        <v>65000</v>
      </c>
    </row>
    <row r="268" spans="1:26" ht="12.75" hidden="1">
      <c r="A268" s="54" t="s">
        <v>294</v>
      </c>
      <c r="V268" s="44">
        <v>-90000</v>
      </c>
      <c r="W268" s="44">
        <v>-100000</v>
      </c>
      <c r="X268" s="44">
        <v>-100000</v>
      </c>
      <c r="Y268" s="44">
        <v>-100000</v>
      </c>
      <c r="Z268" s="44">
        <v>-100000</v>
      </c>
    </row>
    <row r="269" spans="24:26" ht="12.75" hidden="1">
      <c r="X269" s="44">
        <v>-100000</v>
      </c>
      <c r="Y269" s="44">
        <v>-100000</v>
      </c>
      <c r="Z269" s="44">
        <v>-100000</v>
      </c>
    </row>
    <row r="270" spans="25:26" ht="12.75" hidden="1">
      <c r="Y270" s="44">
        <v>-90000</v>
      </c>
      <c r="Z270" s="44">
        <v>-90000</v>
      </c>
    </row>
    <row r="271" spans="19:26" ht="12.75" hidden="1">
      <c r="S271" s="66">
        <f>+SUM(S264:S267)</f>
        <v>0</v>
      </c>
      <c r="T271" s="66">
        <f>+SUM(T264:T267)</f>
        <v>0</v>
      </c>
      <c r="U271" s="66">
        <f>+SUM(U264:U267)</f>
        <v>0</v>
      </c>
      <c r="V271" s="66">
        <f>+SUM(V264:V270)</f>
        <v>-90000</v>
      </c>
      <c r="W271" s="66">
        <f>+SUM(W264:W270)</f>
        <v>435000</v>
      </c>
      <c r="X271" s="66">
        <f>+SUM(X264:X270)</f>
        <v>620000</v>
      </c>
      <c r="Y271" s="66">
        <f>+SUM(Y264:Y270)</f>
        <v>672000</v>
      </c>
      <c r="Z271" s="66">
        <f>+SUM(Z264:Z270)</f>
        <v>737000</v>
      </c>
    </row>
    <row r="272" ht="12.75" hidden="1"/>
    <row r="273" ht="12.75" hidden="1"/>
    <row r="374" ht="12.75"/>
    <row r="375" ht="12.75"/>
    <row r="376" ht="12.75"/>
    <row r="411" ht="12.75"/>
    <row r="412" ht="12.75"/>
    <row r="413" ht="12.75"/>
    <row r="418" ht="12.75"/>
    <row r="419" ht="12.75"/>
    <row r="420" ht="12.75"/>
    <row r="421" ht="12.75"/>
    <row r="422" ht="12.75"/>
    <row r="425" ht="12.75"/>
  </sheetData>
  <mergeCells count="1">
    <mergeCell ref="A2:Z2"/>
  </mergeCells>
  <printOptions/>
  <pageMargins left="0.75" right="0.75" top="1" bottom="1" header="0.5" footer="0.5"/>
  <pageSetup fitToHeight="3" horizontalDpi="600" verticalDpi="600" orientation="landscape" paperSize="9" scale="89" r:id="rId4"/>
  <headerFooter alignWithMargins="0">
    <oddFooter>&amp;CPage &amp;P</oddFooter>
  </headerFooter>
  <rowBreaks count="2" manualBreakCount="2">
    <brk id="156" max="25" man="1"/>
    <brk id="216" max="2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CEB-Budget-Report-Appendix6</dc:title>
  <dc:subject/>
  <dc:creator>Oxford City Council</dc:creator>
  <cp:keywords>Council meetings;Government, politics and public administration; Local government; Decision making; Council meetings;</cp:keywords>
  <dc:description/>
  <cp:lastModifiedBy>mmetcalfe</cp:lastModifiedBy>
  <cp:lastPrinted>2012-01-31T09:20:12Z</cp:lastPrinted>
  <dcterms:created xsi:type="dcterms:W3CDTF">2011-11-22T18:04:39Z</dcterms:created>
  <dcterms:modified xsi:type="dcterms:W3CDTF">2012-02-06T16:51:38Z</dcterms:modified>
  <cp:category/>
  <cp:version/>
  <cp:contentType/>
  <cp:contentStatus/>
</cp:coreProperties>
</file>